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775" activeTab="0"/>
  </bookViews>
  <sheets>
    <sheet name="Krycí list" sheetId="1" r:id="rId1"/>
    <sheet name="Náklady stavby" sheetId="2" r:id="rId2"/>
  </sheets>
  <definedNames>
    <definedName name="__xlnm.Print_Area_2">'Náklady stavby'!$B$1:$H$5</definedName>
    <definedName name="_xlnm.Print_Area" localSheetId="0">'Krycí list'!$A$2:$D$28</definedName>
    <definedName name="_xlnm.Print_Area" localSheetId="1">'Náklady stavby'!$B$1:$I$66</definedName>
    <definedName name="_xlnm.Print_Titles" localSheetId="1">'Náklady stavby'!$5:$5</definedName>
  </definedNames>
  <calcPr calcId="152511"/>
</workbook>
</file>

<file path=xl/sharedStrings.xml><?xml version="1.0" encoding="utf-8"?>
<sst xmlns="http://schemas.openxmlformats.org/spreadsheetml/2006/main" count="260" uniqueCount="148">
  <si>
    <t>Datum:</t>
  </si>
  <si>
    <t>ROZPOČTOVÉ NÁKLADY</t>
  </si>
  <si>
    <t>Jméno:</t>
  </si>
  <si>
    <t>Podpis, razítko:</t>
  </si>
  <si>
    <t>Základ pro DPH</t>
  </si>
  <si>
    <t>Zadavatel:</t>
  </si>
  <si>
    <t>Kód položky</t>
  </si>
  <si>
    <t>Popis</t>
  </si>
  <si>
    <t>MJ</t>
  </si>
  <si>
    <t>Množství celkem</t>
  </si>
  <si>
    <t>Cena celkem</t>
  </si>
  <si>
    <t>kus</t>
  </si>
  <si>
    <t>m</t>
  </si>
  <si>
    <t>hod</t>
  </si>
  <si>
    <t>Cena MJ</t>
  </si>
  <si>
    <t>Stavba, název akce:</t>
  </si>
  <si>
    <t>Část, díl, objekt:</t>
  </si>
  <si>
    <t>Zadavatel, investor:</t>
  </si>
  <si>
    <t>Zpracovatel:</t>
  </si>
  <si>
    <t>Hlavní části stavby:</t>
  </si>
  <si>
    <t>CENA ZA STAVBU CELKEM</t>
  </si>
  <si>
    <t>Celkem hlavní části stavby:</t>
  </si>
  <si>
    <t>Ostatní náklady stavby</t>
  </si>
  <si>
    <t>DPH 21%</t>
  </si>
  <si>
    <t>Ostatní náklady stavby:</t>
  </si>
  <si>
    <t>Název stavby:</t>
  </si>
  <si>
    <t>Č.</t>
  </si>
  <si>
    <t>Celkem ostatní části stavby:</t>
  </si>
  <si>
    <t>Vypracoval:</t>
  </si>
  <si>
    <t>-</t>
  </si>
  <si>
    <t>KRYCÍ LIST NÁKLADŮ STAVBY</t>
  </si>
  <si>
    <t>155 21-1112</t>
  </si>
  <si>
    <r>
      <t>m</t>
    </r>
    <r>
      <rPr>
        <vertAlign val="superscript"/>
        <sz val="9"/>
        <rFont val="Calibri"/>
        <family val="2"/>
        <scheme val="minor"/>
      </rPr>
      <t>2</t>
    </r>
  </si>
  <si>
    <t>155 21-1122</t>
  </si>
  <si>
    <r>
      <t>m</t>
    </r>
    <r>
      <rPr>
        <vertAlign val="superscript"/>
        <sz val="9"/>
        <rFont val="Calibri"/>
        <family val="2"/>
        <scheme val="minor"/>
      </rPr>
      <t>3</t>
    </r>
  </si>
  <si>
    <t>155 21-1311</t>
  </si>
  <si>
    <t>Odtěžení nestabilních hornin ze skalních stěn horolezeckou technikou s použitím pneumatického nářadí s přehozením na vzdál. do 3 m nebo s naložením na dopravní prostředek</t>
  </si>
  <si>
    <t>944 51-1111</t>
  </si>
  <si>
    <t>944 51-1211</t>
  </si>
  <si>
    <t>944 51-1811</t>
  </si>
  <si>
    <t>Demontáž ochranné sítě z textilie z umělých vláken</t>
  </si>
  <si>
    <t>Geodetické práce před výstavbou</t>
  </si>
  <si>
    <t>013 25-4000</t>
  </si>
  <si>
    <t>012 10-3000</t>
  </si>
  <si>
    <t>agreg.</t>
  </si>
  <si>
    <t>030 00-1000</t>
  </si>
  <si>
    <t>soubor</t>
  </si>
  <si>
    <t>Geodetické práce po výstavbě</t>
  </si>
  <si>
    <t>Vybavení staveniště, přenosné zdroje, zabezpečení staveniště, sociální zařízení, včetně jeho odstranění</t>
  </si>
  <si>
    <t>Projektová dokumentace skutečného provedení stavby - DSPS</t>
  </si>
  <si>
    <t>012 30-3000</t>
  </si>
  <si>
    <t>CÚ</t>
  </si>
  <si>
    <t>944 31-1112</t>
  </si>
  <si>
    <t>Montáž ochranného ohrazení trubkového nebo dílcového na vnějších stranách objektů s hl. pádu do 6 m</t>
  </si>
  <si>
    <t>944 31-1211</t>
  </si>
  <si>
    <t>Příplatek za první a každý další den použití ohrazení</t>
  </si>
  <si>
    <t>944 31-1812</t>
  </si>
  <si>
    <t>Demontáž záchytného ohrazení trubkového nebo dílcového na vnějších stranách objektů s hl. pádu do 6 m</t>
  </si>
  <si>
    <t>Montáž ochranné sítě z textilie z umělých vláken, zavěšené na konstrukci lešení</t>
  </si>
  <si>
    <t>Příplatek k ochranné síti za první a ZKD den použití sítě</t>
  </si>
  <si>
    <t>789 32-1120</t>
  </si>
  <si>
    <t>041 50-3000</t>
  </si>
  <si>
    <t>Geotechnický dozor stavby</t>
  </si>
  <si>
    <t>Odkopávky a prokopávky nezapažené s přehozením výkopku na vzd. do 3 m nebo s naložením na dopravní prostředek v hornině třídy 3, přes 100 do 1000 m³</t>
  </si>
  <si>
    <t>Přípravné a přidružené práce a dočasné zajištění staveniště</t>
  </si>
  <si>
    <t>Odstranění vegetace, očištění, odtěžení a obnova aku. prostoru</t>
  </si>
  <si>
    <t xml:space="preserve">Lokální kotvení skalních bloků </t>
  </si>
  <si>
    <t>Zhotovení nátěru ocelových konstrukcí třídy I, jednosložkového vrchního, tloušťky do 40 μm</t>
  </si>
  <si>
    <t>Očištění skalních ploch horolezeckou technikou - odstr. keřů a stromů do pr. 10 cm vč. stažení k zemi, odklizení na hromady na vzd. do 50 m nebo naložení na dopravní prostředek</t>
  </si>
  <si>
    <t>Očištění skalních ploch horolezeckou technikou - očištění ručními nástroji, motykami a páčidly</t>
  </si>
  <si>
    <t xml:space="preserve"> --</t>
  </si>
  <si>
    <t>G NÁKLADY STAVBY</t>
  </si>
  <si>
    <t>Zajištění stability skalních stěn, Dolánky u Turnova</t>
  </si>
  <si>
    <t>Kamenné kotvené podezdívky</t>
  </si>
  <si>
    <t>Přesuny hmot</t>
  </si>
  <si>
    <t>112 15-1113</t>
  </si>
  <si>
    <t>Směrové kácení stromů s odřezáním kmene a s odvětvením, průměru kmene přes 300 do 400 mm</t>
  </si>
  <si>
    <t>112 21-1253</t>
  </si>
  <si>
    <t>Odstranění pařezů ručně, v rovině nebo na svahu přes 1:2 do 1:1, o průměru pařezu přes 300 do 400 mm</t>
  </si>
  <si>
    <t>Směrové kácení stromů s odřezáním kmene a s odvětvením, průměru kmene přes 200 do 300 mm</t>
  </si>
  <si>
    <t>Odstranění pařezů ručně, v rovině nebo na svahu přes 1:2 do 1:1, o průměru pařezu přes 200 do 300 mm</t>
  </si>
  <si>
    <t>Směrové kácení stromů s odřezáním kmene a s odvětvením, průměru kmene přes 400 do 500 mm</t>
  </si>
  <si>
    <t>Odstranění pařezů ručně, v rovině nebo na svahu přes 1:2 do 1:1, o průměru pařezu přes 400 do 500 mm</t>
  </si>
  <si>
    <t>112 21-1252</t>
  </si>
  <si>
    <t>112 21-1254</t>
  </si>
  <si>
    <t>112 15-1112</t>
  </si>
  <si>
    <t>112 15-1114</t>
  </si>
  <si>
    <t>Směrové kácení stromů s odřezáním kmene a s odvětvením, průměru kmene přes 500 do 600 mm</t>
  </si>
  <si>
    <t>Odstranění pařezů ručně, v rovině nebo na svahu přes 1:2 do 1:1, o průměru pařezu přes 500 do 600 mm</t>
  </si>
  <si>
    <t>112 15-1115</t>
  </si>
  <si>
    <t>112 21-1255</t>
  </si>
  <si>
    <t>997 00-2611</t>
  </si>
  <si>
    <t>Nakládání suti a vybouraných hmot na dopravní prostředek, pro vodorovné přemístění</t>
  </si>
  <si>
    <t>t</t>
  </si>
  <si>
    <t>Poplatek za uložení odpadu ze sypaniny na skládce (skládkovné)</t>
  </si>
  <si>
    <t>Hloubení zapažených i nezapaž. jam ručním nebo pneu. nářadím, s urovnáním dna do předeps. profilu a spádu, s přehoz. výkopku na vzd. do 3 m nebo s nalož. na dopr. prostředek, v horninách tř. 4, nesoudržných</t>
  </si>
  <si>
    <t>Příplatek k cenám hloubených vykopávek za lepivost horniny tř. 4</t>
  </si>
  <si>
    <t>327 21-2911</t>
  </si>
  <si>
    <t>Příplatek k cenám za lícování zdiva, jednostranné</t>
  </si>
  <si>
    <t>155 21-2116</t>
  </si>
  <si>
    <t>Vrty do skalních stěn prováděné horolezeckou technikou hloubky do 5 m přenosnými vrtacími kladivy průměru do 56 mm, v hornině třídy V a VI</t>
  </si>
  <si>
    <t>153 81-2121</t>
  </si>
  <si>
    <t>Trny z betonářské oceli včetně zainjektování, pr. přes 20 do 26 mm, délky přes 0,4 do 3 m</t>
  </si>
  <si>
    <t>628 63-1211</t>
  </si>
  <si>
    <t>Spárování zdiva opěrných zdí a valů, cementovou maltou, hloubky spárování do 30 mm, zdiva z lomového kamene, včetně spárovacích hmot</t>
  </si>
  <si>
    <t>155 21-3112</t>
  </si>
  <si>
    <t>Trny z oceli prováděné horolezeckou technikou, bez oka z celozávitové oceli pro uchycení sítí, zainjektované cem. maltou, délky do 3 m, průměru přes 20 do 26 mm</t>
  </si>
  <si>
    <t>Injektování aktivovanými směsmi, nízkotlaké vzestupné tlakem do 0,6 Mpa</t>
  </si>
  <si>
    <t>997 00-2511</t>
  </si>
  <si>
    <t>Vodorovné přemístění suti a vybourání hmot bez naložení, se složením a hrub. urovnáním na vzd. do 1 km</t>
  </si>
  <si>
    <t>997 00-2519</t>
  </si>
  <si>
    <t>Příplatek k ceně za vodorovné přemístění suti vybouraných hmot, ZKD 1 km přes 1 km</t>
  </si>
  <si>
    <r>
      <t>Zdivo nadzákladové opěrných zdí a valů z lomového kamene štípaného nebo ruč. vybíraného, na maltu, z pravidelných kamenů (na vazbu), obj. jednoho kusu kamene do 0,02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, šířka spáry přes 10 do 20 mm</t>
    </r>
  </si>
  <si>
    <t>327 21-1213</t>
  </si>
  <si>
    <t>327 21-3213</t>
  </si>
  <si>
    <r>
      <t>Zdění zdiva nadzákladového opěrných zdí a valů z lomového kamene štípaného nebo ruč. vybíraného, na maltu, z pravidelných kamenů (na vazbu), obj. jednoho kusu kamene do 0,02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, šířka spáry přes 10 do 20 mm</t>
    </r>
  </si>
  <si>
    <t>město Turnov, Antonína Dvořáka 335, 511 01 Turnov</t>
  </si>
  <si>
    <t>155 21-3511</t>
  </si>
  <si>
    <t>Trny z oceli prováděné horolezeckou technikou, zainjektované cem. maltou - statická zatěžovací zkouška</t>
  </si>
  <si>
    <t>274 31-1127</t>
  </si>
  <si>
    <t>Základové pasy, prahy, věnce a ostruhy z betonu třídy C25/30, včetně dodání a uložení betonu do připravené konstrukce</t>
  </si>
  <si>
    <t>153 81-1111</t>
  </si>
  <si>
    <t>153 81 1194</t>
  </si>
  <si>
    <t>Příplatek k ceně za provedení sklípku</t>
  </si>
  <si>
    <t>153 89-1311</t>
  </si>
  <si>
    <t>Opěrné desky z oceli velokosti 300 x 300 mm, tloušťky do 30 mm</t>
  </si>
  <si>
    <t>Osazení kotev tyčových, bez provedení vrtu, zainjektování a napnutí kotvy, délky přes 5 m a průměru od 20 do 28 mm</t>
  </si>
  <si>
    <t>281 60-4111</t>
  </si>
  <si>
    <t>224 11-1116</t>
  </si>
  <si>
    <t>Maloprofilové vrty průbežným sacím vrtáním, průměru do 56 mm, do úklonu 45°, v hloubce 0 až 25 m, v hornině třídy V a VI</t>
  </si>
  <si>
    <t>224 51-1116</t>
  </si>
  <si>
    <t>Maloprofilové vrty průbežným sacím vrtáním, průměru přes 56 do 93 mm, do úklonu 45°, v hloubce 0 až 25 m, v hornině třídy V a VI</t>
  </si>
  <si>
    <t>PVC průchodka, délky 1 m, průměru 65 mm, včetně instalace do vrtu</t>
  </si>
  <si>
    <t>Drcení ořezaných větví strojně (štěpkování) o průměru větví do 100 mm s naložením na dopravní prostředek, odvoz do 20 km a se složením</t>
  </si>
  <si>
    <t>171 20-1211 R</t>
  </si>
  <si>
    <t>Poplatek za uložení dřevní drti na skládce (skládkovné)</t>
  </si>
  <si>
    <r>
      <rPr>
        <b/>
        <i/>
        <sz val="10"/>
        <rFont val="Calibri"/>
        <family val="2"/>
      </rPr>
      <t>Počet stránek:</t>
    </r>
    <r>
      <rPr>
        <sz val="10"/>
        <rFont val="Calibri"/>
        <family val="2"/>
      </rPr>
      <t xml:space="preserve"> 3</t>
    </r>
  </si>
  <si>
    <t>Instalace informačních cedulí se zákazem vstupu z důvodu nebezpečí pádu skalní horniny, podélně á 15 m</t>
  </si>
  <si>
    <t>Instalace geotechnického, postsanačního monitoringu s dálkovým odečítáním, včetně nultého měření</t>
  </si>
  <si>
    <t>Instalace geotechnického, postsanačního monitoringu s ručním odečítáním, včetně nultého měření</t>
  </si>
  <si>
    <t>Provoz automatického a ručního měření po dobu jednoho roku včetně vyhodnocení</t>
  </si>
  <si>
    <t>Geotechnický monitoring</t>
  </si>
  <si>
    <t>111 25-1111-R</t>
  </si>
  <si>
    <t>122 20-1102-R</t>
  </si>
  <si>
    <t>131 30-3102-R</t>
  </si>
  <si>
    <t>131 30-3109-R</t>
  </si>
  <si>
    <t>171 20-1211-R</t>
  </si>
  <si>
    <t>ÚRS II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</si>
</sst>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* _-#,##0.00&quot; Kč&quot;;* \-#,##0.00&quot; Kč&quot;;* _-\-??&quot; Kč&quot;;@"/>
    <numFmt numFmtId="165" formatCode="#,##0&quot; Kč&quot;"/>
    <numFmt numFmtId="166" formatCode="#"/>
    <numFmt numFmtId="167" formatCode="_-* #,##0\ [$Kč-405]_-;\-* #,##0\ [$Kč-405]_-;_-* \-??\ [$Kč-405]_-;_-@_-"/>
    <numFmt numFmtId="168" formatCode="_-* #,##0.0&quot; Kč&quot;_-;\-* #,##0.0&quot; Kč&quot;_-;_-* &quot;- Kč&quot;_-;_-@_-"/>
    <numFmt numFmtId="169" formatCode="#,##0\ &quot;Kč&quot;"/>
    <numFmt numFmtId="170" formatCode="_-* #,##0&quot; Kč&quot;_-;\-* #,##0&quot; Kč&quot;_-;_-* &quot;- Kč&quot;_-;_-@_-"/>
    <numFmt numFmtId="171" formatCode="#,##0.0\ &quot;Kč&quot;"/>
    <numFmt numFmtId="172" formatCode="_-* #,##0.0\ _K_č_-;\-* #,##0.0\ _K_č_-;_-* &quot;-&quot;?\ _K_č_-;_-@_-"/>
    <numFmt numFmtId="173" formatCode="#,##0.0"/>
    <numFmt numFmtId="174" formatCode="0.0"/>
  </numFmts>
  <fonts count="28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20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</font>
    <font>
      <sz val="9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D6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 vertical="center" wrapText="1"/>
      <protection/>
    </xf>
  </cellStyleXfs>
  <cellXfs count="263">
    <xf numFmtId="0" fontId="0" fillId="0" borderId="0" xfId="0"/>
    <xf numFmtId="0" fontId="1" fillId="0" borderId="0" xfId="21" applyFont="1" applyProtection="1">
      <alignment/>
      <protection hidden="1"/>
    </xf>
    <xf numFmtId="0" fontId="14" fillId="2" borderId="1" xfId="21" applyFont="1" applyFill="1" applyBorder="1" applyAlignment="1" applyProtection="1">
      <alignment vertical="center"/>
      <protection hidden="1"/>
    </xf>
    <xf numFmtId="0" fontId="15" fillId="2" borderId="2" xfId="21" applyFont="1" applyFill="1" applyBorder="1" applyAlignment="1" applyProtection="1">
      <alignment horizontal="left" vertical="center"/>
      <protection hidden="1"/>
    </xf>
    <xf numFmtId="0" fontId="15" fillId="2" borderId="3" xfId="21" applyFont="1" applyFill="1" applyBorder="1" applyAlignment="1" applyProtection="1">
      <alignment horizontal="left" vertical="center"/>
      <protection hidden="1"/>
    </xf>
    <xf numFmtId="0" fontId="11" fillId="3" borderId="1" xfId="21" applyFont="1" applyFill="1" applyBorder="1" applyAlignment="1" applyProtection="1">
      <alignment horizontal="right" vertical="center"/>
      <protection hidden="1"/>
    </xf>
    <xf numFmtId="0" fontId="16" fillId="3" borderId="2" xfId="21" applyFont="1" applyFill="1" applyBorder="1" applyAlignment="1" applyProtection="1">
      <alignment horizontal="left" vertical="center" wrapText="1"/>
      <protection hidden="1"/>
    </xf>
    <xf numFmtId="0" fontId="16" fillId="3" borderId="3" xfId="21" applyFont="1" applyFill="1" applyBorder="1" applyAlignment="1" applyProtection="1">
      <alignment horizontal="left" vertical="center" wrapText="1"/>
      <protection hidden="1"/>
    </xf>
    <xf numFmtId="0" fontId="11" fillId="3" borderId="4" xfId="21" applyFont="1" applyFill="1" applyBorder="1" applyAlignment="1" applyProtection="1">
      <alignment horizontal="right" vertical="center"/>
      <protection hidden="1"/>
    </xf>
    <xf numFmtId="0" fontId="16" fillId="3" borderId="0" xfId="21" applyFont="1" applyFill="1" applyBorder="1" applyAlignment="1" applyProtection="1">
      <alignment horizontal="left" vertical="center"/>
      <protection hidden="1"/>
    </xf>
    <xf numFmtId="0" fontId="16" fillId="3" borderId="5" xfId="21" applyFont="1" applyFill="1" applyBorder="1" applyAlignment="1" applyProtection="1">
      <alignment horizontal="left" vertical="center"/>
      <protection hidden="1"/>
    </xf>
    <xf numFmtId="0" fontId="16" fillId="3" borderId="0" xfId="21" applyNumberFormat="1" applyFont="1" applyFill="1" applyBorder="1" applyAlignment="1" applyProtection="1">
      <alignment horizontal="left" vertical="center"/>
      <protection hidden="1"/>
    </xf>
    <xf numFmtId="0" fontId="16" fillId="3" borderId="5" xfId="21" applyNumberFormat="1" applyFont="1" applyFill="1" applyBorder="1" applyAlignment="1" applyProtection="1">
      <alignment horizontal="left" vertical="center"/>
      <protection hidden="1"/>
    </xf>
    <xf numFmtId="14" fontId="16" fillId="3" borderId="0" xfId="21" applyNumberFormat="1" applyFont="1" applyFill="1" applyBorder="1" applyAlignment="1" applyProtection="1">
      <alignment horizontal="left" vertical="center"/>
      <protection hidden="1"/>
    </xf>
    <xf numFmtId="0" fontId="17" fillId="3" borderId="0" xfId="21" applyFont="1" applyFill="1" applyBorder="1" applyAlignment="1" applyProtection="1">
      <alignment vertical="center"/>
      <protection hidden="1"/>
    </xf>
    <xf numFmtId="0" fontId="16" fillId="3" borderId="5" xfId="21" applyFont="1" applyFill="1" applyBorder="1" applyAlignment="1" applyProtection="1">
      <alignment vertical="center"/>
      <protection hidden="1"/>
    </xf>
    <xf numFmtId="0" fontId="16" fillId="3" borderId="6" xfId="21" applyFont="1" applyFill="1" applyBorder="1" applyAlignment="1" applyProtection="1">
      <alignment vertical="center"/>
      <protection hidden="1"/>
    </xf>
    <xf numFmtId="0" fontId="16" fillId="3" borderId="7" xfId="21" applyFont="1" applyFill="1" applyBorder="1" applyAlignment="1" applyProtection="1">
      <alignment vertical="center"/>
      <protection hidden="1"/>
    </xf>
    <xf numFmtId="0" fontId="16" fillId="3" borderId="8" xfId="21" applyFont="1" applyFill="1" applyBorder="1" applyAlignment="1" applyProtection="1">
      <alignment vertical="center"/>
      <protection hidden="1"/>
    </xf>
    <xf numFmtId="0" fontId="24" fillId="2" borderId="9" xfId="21" applyFont="1" applyFill="1" applyBorder="1" applyAlignment="1" applyProtection="1">
      <alignment vertical="center"/>
      <protection hidden="1"/>
    </xf>
    <xf numFmtId="0" fontId="24" fillId="2" borderId="10" xfId="21" applyFont="1" applyFill="1" applyBorder="1" applyAlignment="1" applyProtection="1">
      <alignment vertical="center"/>
      <protection hidden="1"/>
    </xf>
    <xf numFmtId="0" fontId="24" fillId="2" borderId="11" xfId="21" applyFont="1" applyFill="1" applyBorder="1" applyAlignment="1" applyProtection="1">
      <alignment vertical="center"/>
      <protection hidden="1"/>
    </xf>
    <xf numFmtId="0" fontId="11" fillId="3" borderId="12" xfId="21" applyFont="1" applyFill="1" applyBorder="1" applyAlignment="1" applyProtection="1">
      <alignment horizontal="left" vertical="center"/>
      <protection hidden="1"/>
    </xf>
    <xf numFmtId="0" fontId="11" fillId="3" borderId="13" xfId="21" applyFont="1" applyFill="1" applyBorder="1" applyAlignment="1" applyProtection="1">
      <alignment horizontal="left" vertical="center"/>
      <protection hidden="1"/>
    </xf>
    <xf numFmtId="0" fontId="11" fillId="3" borderId="14" xfId="21" applyFont="1" applyFill="1" applyBorder="1" applyAlignment="1" applyProtection="1">
      <alignment horizontal="left" vertical="center"/>
      <protection hidden="1"/>
    </xf>
    <xf numFmtId="0" fontId="11" fillId="3" borderId="15" xfId="21" applyFont="1" applyFill="1" applyBorder="1" applyAlignment="1" applyProtection="1">
      <alignment horizontal="left" vertical="center"/>
      <protection hidden="1"/>
    </xf>
    <xf numFmtId="0" fontId="16" fillId="3" borderId="4" xfId="21" applyFont="1" applyFill="1" applyBorder="1" applyAlignment="1" applyProtection="1">
      <alignment horizontal="left" vertical="center" wrapText="1"/>
      <protection hidden="1"/>
    </xf>
    <xf numFmtId="169" fontId="16" fillId="3" borderId="0" xfId="21" applyNumberFormat="1" applyFont="1" applyFill="1" applyBorder="1" applyAlignment="1" applyProtection="1">
      <alignment vertical="center"/>
      <protection hidden="1"/>
    </xf>
    <xf numFmtId="0" fontId="16" fillId="3" borderId="4" xfId="21" applyFont="1" applyFill="1" applyBorder="1" applyAlignment="1" applyProtection="1">
      <alignment vertical="center" wrapText="1"/>
      <protection hidden="1"/>
    </xf>
    <xf numFmtId="169" fontId="16" fillId="3" borderId="5" xfId="21" applyNumberFormat="1" applyFont="1" applyFill="1" applyBorder="1" applyAlignment="1" applyProtection="1">
      <alignment vertical="center"/>
      <protection hidden="1"/>
    </xf>
    <xf numFmtId="0" fontId="0" fillId="0" borderId="0" xfId="21" applyProtection="1">
      <alignment/>
      <protection hidden="1"/>
    </xf>
    <xf numFmtId="0" fontId="12" fillId="0" borderId="0" xfId="21" applyFont="1" applyProtection="1">
      <alignment/>
      <protection hidden="1"/>
    </xf>
    <xf numFmtId="0" fontId="11" fillId="3" borderId="9" xfId="21" applyFont="1" applyFill="1" applyBorder="1" applyAlignment="1" applyProtection="1">
      <alignment vertical="center"/>
      <protection hidden="1"/>
    </xf>
    <xf numFmtId="169" fontId="17" fillId="3" borderId="11" xfId="21" applyNumberFormat="1" applyFont="1" applyFill="1" applyBorder="1" applyAlignment="1" applyProtection="1">
      <alignment vertical="center"/>
      <protection hidden="1"/>
    </xf>
    <xf numFmtId="169" fontId="1" fillId="0" borderId="0" xfId="21" applyNumberFormat="1" applyFont="1" applyProtection="1">
      <alignment/>
      <protection hidden="1"/>
    </xf>
    <xf numFmtId="0" fontId="16" fillId="3" borderId="1" xfId="21" applyFont="1" applyFill="1" applyBorder="1" applyAlignment="1" applyProtection="1">
      <alignment vertical="center"/>
      <protection hidden="1"/>
    </xf>
    <xf numFmtId="0" fontId="16" fillId="3" borderId="3" xfId="21" applyFont="1" applyFill="1" applyBorder="1" applyAlignment="1" applyProtection="1">
      <alignment vertical="center"/>
      <protection hidden="1"/>
    </xf>
    <xf numFmtId="0" fontId="11" fillId="3" borderId="16" xfId="21" applyFont="1" applyFill="1" applyBorder="1" applyAlignment="1" applyProtection="1">
      <alignment vertical="center"/>
      <protection hidden="1"/>
    </xf>
    <xf numFmtId="165" fontId="17" fillId="3" borderId="17" xfId="21" applyNumberFormat="1" applyFont="1" applyFill="1" applyBorder="1" applyAlignment="1" applyProtection="1">
      <alignment horizontal="right" vertical="center"/>
      <protection hidden="1"/>
    </xf>
    <xf numFmtId="0" fontId="11" fillId="3" borderId="12" xfId="21" applyFont="1" applyFill="1" applyBorder="1" applyAlignment="1" applyProtection="1">
      <alignment vertical="center"/>
      <protection hidden="1"/>
    </xf>
    <xf numFmtId="165" fontId="17" fillId="3" borderId="18" xfId="21" applyNumberFormat="1" applyFont="1" applyFill="1" applyBorder="1" applyAlignment="1" applyProtection="1">
      <alignment horizontal="right" vertical="center"/>
      <protection hidden="1"/>
    </xf>
    <xf numFmtId="0" fontId="16" fillId="3" borderId="6" xfId="21" applyFont="1" applyFill="1" applyBorder="1" applyProtection="1">
      <alignment/>
      <protection hidden="1"/>
    </xf>
    <xf numFmtId="0" fontId="16" fillId="3" borderId="8" xfId="21" applyFont="1" applyFill="1" applyBorder="1" applyProtection="1">
      <alignment/>
      <protection hidden="1"/>
    </xf>
    <xf numFmtId="165" fontId="24" fillId="2" borderId="10" xfId="21" applyNumberFormat="1" applyFont="1" applyFill="1" applyBorder="1" applyAlignment="1" applyProtection="1">
      <alignment horizontal="right" vertical="center"/>
      <protection hidden="1"/>
    </xf>
    <xf numFmtId="0" fontId="5" fillId="0" borderId="0" xfId="21" applyFont="1" applyFill="1" applyBorder="1" applyAlignment="1" applyProtection="1">
      <alignment vertical="center"/>
      <protection hidden="1"/>
    </xf>
    <xf numFmtId="0" fontId="2" fillId="0" borderId="0" xfId="21" applyFont="1" applyProtection="1">
      <alignment/>
      <protection hidden="1"/>
    </xf>
    <xf numFmtId="0" fontId="4" fillId="0" borderId="0" xfId="21" applyFont="1" applyFill="1" applyBorder="1" applyAlignment="1" applyProtection="1">
      <alignment vertical="center"/>
      <protection hidden="1"/>
    </xf>
    <xf numFmtId="0" fontId="8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 applyProtection="1">
      <alignment/>
      <protection hidden="1"/>
    </xf>
    <xf numFmtId="0" fontId="6" fillId="0" borderId="0" xfId="21" applyFont="1" applyFill="1" applyBorder="1" applyAlignment="1" applyProtection="1">
      <alignment vertical="center"/>
      <protection hidden="1"/>
    </xf>
    <xf numFmtId="0" fontId="7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Protection="1">
      <alignment/>
      <protection hidden="1"/>
    </xf>
    <xf numFmtId="0" fontId="4" fillId="0" borderId="0" xfId="21" applyFont="1" applyFill="1" applyBorder="1" applyProtection="1">
      <alignment/>
      <protection hidden="1"/>
    </xf>
    <xf numFmtId="0" fontId="9" fillId="0" borderId="0" xfId="21" applyFont="1" applyFill="1" applyBorder="1" applyAlignment="1" applyProtection="1">
      <alignment horizontal="right"/>
      <protection hidden="1"/>
    </xf>
    <xf numFmtId="0" fontId="3" fillId="0" borderId="0" xfId="21" applyFont="1" applyFill="1" applyBorder="1" applyAlignment="1" applyProtection="1">
      <alignment horizontal="right"/>
      <protection hidden="1"/>
    </xf>
    <xf numFmtId="0" fontId="3" fillId="0" borderId="0" xfId="21" applyFont="1" applyProtection="1">
      <alignment/>
      <protection hidden="1"/>
    </xf>
    <xf numFmtId="0" fontId="13" fillId="0" borderId="0" xfId="21" applyFont="1" applyAlignment="1" applyProtection="1">
      <alignment horizontal="center"/>
      <protection hidden="1"/>
    </xf>
    <xf numFmtId="0" fontId="13" fillId="0" borderId="0" xfId="21" applyFont="1" applyProtection="1">
      <alignment/>
      <protection hidden="1"/>
    </xf>
    <xf numFmtId="2" fontId="13" fillId="0" borderId="0" xfId="21" applyNumberFormat="1" applyFont="1" applyProtection="1">
      <alignment/>
      <protection hidden="1"/>
    </xf>
    <xf numFmtId="0" fontId="13" fillId="0" borderId="0" xfId="21" applyFont="1" applyFill="1" applyBorder="1" applyProtection="1">
      <alignment/>
      <protection hidden="1"/>
    </xf>
    <xf numFmtId="0" fontId="23" fillId="2" borderId="1" xfId="21" applyFont="1" applyFill="1" applyBorder="1" applyAlignment="1" applyProtection="1">
      <alignment vertical="center"/>
      <protection hidden="1"/>
    </xf>
    <xf numFmtId="0" fontId="23" fillId="2" borderId="2" xfId="21" applyFont="1" applyFill="1" applyBorder="1" applyAlignment="1" applyProtection="1">
      <alignment vertical="center"/>
      <protection hidden="1"/>
    </xf>
    <xf numFmtId="0" fontId="15" fillId="2" borderId="2" xfId="21" applyFont="1" applyFill="1" applyBorder="1" applyAlignment="1" applyProtection="1">
      <alignment horizontal="left" vertical="center"/>
      <protection hidden="1"/>
    </xf>
    <xf numFmtId="0" fontId="25" fillId="2" borderId="3" xfId="21" applyFont="1" applyFill="1" applyBorder="1" applyProtection="1">
      <alignment/>
      <protection hidden="1"/>
    </xf>
    <xf numFmtId="0" fontId="26" fillId="3" borderId="1" xfId="21" applyFont="1" applyFill="1" applyBorder="1" applyAlignment="1" applyProtection="1">
      <alignment horizontal="right" vertical="center"/>
      <protection hidden="1"/>
    </xf>
    <xf numFmtId="0" fontId="26" fillId="3" borderId="2" xfId="21" applyFont="1" applyFill="1" applyBorder="1" applyAlignment="1" applyProtection="1">
      <alignment horizontal="right" vertical="center"/>
      <protection hidden="1"/>
    </xf>
    <xf numFmtId="0" fontId="21" fillId="3" borderId="2" xfId="21" applyFont="1" applyFill="1" applyBorder="1" applyAlignment="1" applyProtection="1">
      <alignment horizontal="left" vertical="center" wrapText="1"/>
      <protection hidden="1"/>
    </xf>
    <xf numFmtId="0" fontId="18" fillId="3" borderId="2" xfId="21" applyFont="1" applyFill="1" applyBorder="1" applyAlignment="1" applyProtection="1">
      <alignment vertical="center"/>
      <protection hidden="1"/>
    </xf>
    <xf numFmtId="0" fontId="21" fillId="3" borderId="3" xfId="21" applyFont="1" applyFill="1" applyBorder="1" applyProtection="1">
      <alignment/>
      <protection hidden="1"/>
    </xf>
    <xf numFmtId="0" fontId="26" fillId="3" borderId="6" xfId="21" applyFont="1" applyFill="1" applyBorder="1" applyAlignment="1" applyProtection="1">
      <alignment horizontal="right" vertical="center"/>
      <protection hidden="1"/>
    </xf>
    <xf numFmtId="0" fontId="26" fillId="3" borderId="7" xfId="21" applyFont="1" applyFill="1" applyBorder="1" applyAlignment="1" applyProtection="1">
      <alignment horizontal="right" vertical="center"/>
      <protection hidden="1"/>
    </xf>
    <xf numFmtId="0" fontId="21" fillId="3" borderId="7" xfId="21" applyFont="1" applyFill="1" applyBorder="1" applyAlignment="1" applyProtection="1">
      <alignment horizontal="left" vertical="center" wrapText="1"/>
      <protection hidden="1"/>
    </xf>
    <xf numFmtId="0" fontId="26" fillId="3" borderId="7" xfId="21" applyFont="1" applyFill="1" applyBorder="1" applyAlignment="1" applyProtection="1">
      <alignment horizontal="left" vertical="center"/>
      <protection hidden="1"/>
    </xf>
    <xf numFmtId="0" fontId="18" fillId="3" borderId="7" xfId="21" applyFont="1" applyFill="1" applyBorder="1" applyAlignment="1" applyProtection="1">
      <alignment horizontal="center" vertical="center"/>
      <protection hidden="1"/>
    </xf>
    <xf numFmtId="167" fontId="18" fillId="3" borderId="7" xfId="21" applyNumberFormat="1" applyFont="1" applyFill="1" applyBorder="1" applyAlignment="1" applyProtection="1">
      <alignment horizontal="center" vertical="center"/>
      <protection hidden="1"/>
    </xf>
    <xf numFmtId="0" fontId="21" fillId="3" borderId="8" xfId="21" applyFont="1" applyFill="1" applyBorder="1" applyProtection="1">
      <alignment/>
      <protection hidden="1"/>
    </xf>
    <xf numFmtId="0" fontId="22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22" fillId="0" borderId="20" xfId="21" applyNumberFormat="1" applyFont="1" applyFill="1" applyBorder="1" applyAlignment="1" applyProtection="1">
      <alignment horizontal="center" vertical="center" wrapText="1"/>
      <protection hidden="1"/>
    </xf>
    <xf numFmtId="2" fontId="22" fillId="0" borderId="20" xfId="21" applyNumberFormat="1" applyFont="1" applyFill="1" applyBorder="1" applyAlignment="1" applyProtection="1">
      <alignment horizontal="center" vertical="center" wrapText="1"/>
      <protection hidden="1"/>
    </xf>
    <xf numFmtId="2" fontId="22" fillId="0" borderId="21" xfId="21" applyNumberFormat="1" applyFont="1" applyFill="1" applyBorder="1" applyAlignment="1" applyProtection="1">
      <alignment horizontal="center" vertical="center" wrapText="1"/>
      <protection hidden="1"/>
    </xf>
    <xf numFmtId="2" fontId="18" fillId="4" borderId="9" xfId="21" applyNumberFormat="1" applyFont="1" applyFill="1" applyBorder="1" applyAlignment="1" applyProtection="1">
      <alignment vertical="center" wrapText="1"/>
      <protection hidden="1"/>
    </xf>
    <xf numFmtId="166" fontId="18" fillId="4" borderId="10" xfId="21" applyNumberFormat="1" applyFont="1" applyFill="1" applyBorder="1" applyAlignment="1" applyProtection="1">
      <alignment horizontal="center" vertical="center" wrapText="1"/>
      <protection hidden="1"/>
    </xf>
    <xf numFmtId="166" fontId="18" fillId="5" borderId="10" xfId="21" applyNumberFormat="1" applyFont="1" applyFill="1" applyBorder="1" applyAlignment="1" applyProtection="1">
      <alignment vertical="center" wrapText="1"/>
      <protection hidden="1"/>
    </xf>
    <xf numFmtId="166" fontId="18" fillId="5" borderId="10" xfId="21" applyNumberFormat="1" applyFont="1" applyFill="1" applyBorder="1" applyAlignment="1" applyProtection="1">
      <alignment horizontal="center" vertical="center" wrapText="1"/>
      <protection hidden="1"/>
    </xf>
    <xf numFmtId="167" fontId="18" fillId="5" borderId="10" xfId="21" applyNumberFormat="1" applyFont="1" applyFill="1" applyBorder="1" applyAlignment="1" applyProtection="1">
      <alignment vertical="center" wrapText="1"/>
      <protection hidden="1"/>
    </xf>
    <xf numFmtId="0" fontId="21" fillId="4" borderId="11" xfId="21" applyFont="1" applyFill="1" applyBorder="1" applyAlignment="1" applyProtection="1">
      <alignment horizontal="center" vertical="center"/>
      <protection hidden="1"/>
    </xf>
    <xf numFmtId="0" fontId="13" fillId="0" borderId="22" xfId="23" applyFont="1" applyFill="1" applyBorder="1" applyAlignment="1" applyProtection="1">
      <alignment horizontal="center" vertical="center"/>
      <protection hidden="1"/>
    </xf>
    <xf numFmtId="0" fontId="13" fillId="0" borderId="23" xfId="21" applyFont="1" applyFill="1" applyBorder="1" applyAlignment="1" applyProtection="1">
      <alignment horizontal="center" vertical="center" wrapText="1"/>
      <protection hidden="1"/>
    </xf>
    <xf numFmtId="166" fontId="13" fillId="0" borderId="23" xfId="21" applyNumberFormat="1" applyFont="1" applyFill="1" applyBorder="1" applyAlignment="1" applyProtection="1">
      <alignment horizontal="left" vertical="center" wrapText="1"/>
      <protection hidden="1"/>
    </xf>
    <xf numFmtId="0" fontId="13" fillId="0" borderId="23" xfId="21" applyFont="1" applyFill="1" applyBorder="1" applyAlignment="1" applyProtection="1">
      <alignment horizontal="center" vertical="center"/>
      <protection hidden="1"/>
    </xf>
    <xf numFmtId="173" fontId="13" fillId="0" borderId="23" xfId="21" applyNumberFormat="1" applyFont="1" applyFill="1" applyBorder="1" applyAlignment="1" applyProtection="1">
      <alignment vertical="center" wrapText="1"/>
      <protection hidden="1"/>
    </xf>
    <xf numFmtId="170" fontId="13" fillId="0" borderId="24" xfId="21" applyNumberFormat="1" applyFont="1" applyFill="1" applyBorder="1" applyAlignment="1" applyProtection="1">
      <alignment vertical="center" wrapText="1"/>
      <protection hidden="1"/>
    </xf>
    <xf numFmtId="0" fontId="13" fillId="0" borderId="25" xfId="21" applyFont="1" applyFill="1" applyBorder="1" applyAlignment="1" applyProtection="1">
      <alignment horizontal="center" vertical="center" wrapText="1"/>
      <protection hidden="1"/>
    </xf>
    <xf numFmtId="0" fontId="13" fillId="0" borderId="0" xfId="21" applyFont="1" applyFill="1" applyProtection="1">
      <alignment/>
      <protection hidden="1"/>
    </xf>
    <xf numFmtId="168" fontId="13" fillId="0" borderId="0" xfId="21" applyNumberFormat="1" applyFont="1" applyFill="1" applyBorder="1" applyAlignment="1" applyProtection="1">
      <alignment vertical="center" wrapText="1"/>
      <protection hidden="1"/>
    </xf>
    <xf numFmtId="171" fontId="13" fillId="0" borderId="0" xfId="21" applyNumberFormat="1" applyFont="1" applyFill="1" applyBorder="1" applyAlignment="1" applyProtection="1">
      <alignment vertical="center"/>
      <protection hidden="1"/>
    </xf>
    <xf numFmtId="0" fontId="13" fillId="0" borderId="26" xfId="21" applyFont="1" applyFill="1" applyBorder="1" applyAlignment="1" applyProtection="1">
      <alignment horizontal="center" vertical="center" wrapText="1"/>
      <protection hidden="1"/>
    </xf>
    <xf numFmtId="0" fontId="13" fillId="0" borderId="26" xfId="21" applyFont="1" applyFill="1" applyBorder="1" applyAlignment="1" applyProtection="1">
      <alignment horizontal="left" vertical="center" wrapText="1"/>
      <protection hidden="1"/>
    </xf>
    <xf numFmtId="0" fontId="13" fillId="0" borderId="26" xfId="21" applyFont="1" applyFill="1" applyBorder="1" applyAlignment="1" applyProtection="1">
      <alignment horizontal="center" vertical="center"/>
      <protection hidden="1"/>
    </xf>
    <xf numFmtId="173" fontId="13" fillId="0" borderId="26" xfId="21" applyNumberFormat="1" applyFont="1" applyFill="1" applyBorder="1" applyAlignment="1" applyProtection="1">
      <alignment vertical="center" wrapText="1"/>
      <protection hidden="1"/>
    </xf>
    <xf numFmtId="0" fontId="13" fillId="0" borderId="23" xfId="21" applyFont="1" applyFill="1" applyBorder="1" applyAlignment="1" applyProtection="1">
      <alignment horizontal="left" vertical="center" wrapText="1"/>
      <protection hidden="1"/>
    </xf>
    <xf numFmtId="170" fontId="13" fillId="0" borderId="26" xfId="21" applyNumberFormat="1" applyFont="1" applyFill="1" applyBorder="1" applyAlignment="1" applyProtection="1">
      <alignment vertical="center" wrapText="1"/>
      <protection hidden="1"/>
    </xf>
    <xf numFmtId="173" fontId="13" fillId="0" borderId="27" xfId="21" applyNumberFormat="1" applyFont="1" applyFill="1" applyBorder="1" applyAlignment="1" applyProtection="1">
      <alignment vertical="center" wrapText="1"/>
      <protection hidden="1"/>
    </xf>
    <xf numFmtId="170" fontId="13" fillId="0" borderId="28" xfId="21" applyNumberFormat="1" applyFont="1" applyFill="1" applyBorder="1" applyAlignment="1" applyProtection="1">
      <alignment vertical="center" wrapText="1"/>
      <protection hidden="1"/>
    </xf>
    <xf numFmtId="0" fontId="13" fillId="0" borderId="29" xfId="21" applyFont="1" applyFill="1" applyBorder="1" applyAlignment="1" applyProtection="1">
      <alignment horizontal="center" vertical="center" wrapText="1"/>
      <protection hidden="1"/>
    </xf>
    <xf numFmtId="0" fontId="13" fillId="0" borderId="29" xfId="21" applyFont="1" applyFill="1" applyBorder="1" applyAlignment="1" applyProtection="1">
      <alignment horizontal="left" vertical="center" wrapText="1"/>
      <protection hidden="1"/>
    </xf>
    <xf numFmtId="0" fontId="13" fillId="0" borderId="29" xfId="21" applyFont="1" applyFill="1" applyBorder="1" applyAlignment="1" applyProtection="1">
      <alignment horizontal="center" vertical="center"/>
      <protection hidden="1"/>
    </xf>
    <xf numFmtId="173" fontId="13" fillId="0" borderId="29" xfId="21" applyNumberFormat="1" applyFont="1" applyFill="1" applyBorder="1" applyAlignment="1" applyProtection="1">
      <alignment vertical="center" wrapText="1"/>
      <protection hidden="1"/>
    </xf>
    <xf numFmtId="170" fontId="13" fillId="0" borderId="30" xfId="21" applyNumberFormat="1" applyFont="1" applyFill="1" applyBorder="1" applyAlignment="1" applyProtection="1">
      <alignment vertical="center" wrapText="1"/>
      <protection hidden="1"/>
    </xf>
    <xf numFmtId="173" fontId="13" fillId="0" borderId="23" xfId="23" applyNumberFormat="1" applyFont="1" applyFill="1" applyBorder="1" applyAlignment="1" applyProtection="1">
      <alignment vertical="center" wrapText="1"/>
      <protection hidden="1"/>
    </xf>
    <xf numFmtId="170" fontId="13" fillId="0" borderId="24" xfId="23" applyNumberFormat="1" applyFont="1" applyFill="1" applyBorder="1" applyAlignment="1" applyProtection="1">
      <alignment vertical="center" wrapText="1"/>
      <protection hidden="1"/>
    </xf>
    <xf numFmtId="170" fontId="13" fillId="0" borderId="0" xfId="21" applyNumberFormat="1" applyFont="1" applyFill="1" applyProtection="1">
      <alignment/>
      <protection hidden="1"/>
    </xf>
    <xf numFmtId="166" fontId="13" fillId="0" borderId="26" xfId="21" applyNumberFormat="1" applyFont="1" applyFill="1" applyBorder="1" applyAlignment="1" applyProtection="1">
      <alignment vertical="center" wrapText="1"/>
      <protection hidden="1"/>
    </xf>
    <xf numFmtId="0" fontId="13" fillId="0" borderId="23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21" applyNumberFormat="1" applyFont="1" applyFill="1" applyBorder="1" applyAlignment="1" applyProtection="1">
      <alignment horizontal="center" vertical="center" wrapText="1"/>
      <protection hidden="1"/>
    </xf>
    <xf numFmtId="173" fontId="13" fillId="0" borderId="26" xfId="23" applyNumberFormat="1" applyFont="1" applyFill="1" applyBorder="1" applyAlignment="1" applyProtection="1">
      <alignment vertical="center" wrapText="1"/>
      <protection hidden="1"/>
    </xf>
    <xf numFmtId="170" fontId="13" fillId="0" borderId="31" xfId="23" applyNumberFormat="1" applyFont="1" applyFill="1" applyBorder="1" applyAlignment="1" applyProtection="1">
      <alignment vertical="center" wrapText="1"/>
      <protection hidden="1"/>
    </xf>
    <xf numFmtId="0" fontId="13" fillId="0" borderId="26" xfId="21" applyFont="1" applyFill="1" applyBorder="1" applyAlignment="1" applyProtection="1">
      <alignment vertical="center"/>
      <protection hidden="1"/>
    </xf>
    <xf numFmtId="0" fontId="13" fillId="0" borderId="26" xfId="21" applyFont="1" applyFill="1" applyBorder="1" applyAlignment="1" applyProtection="1">
      <alignment vertical="center" wrapText="1"/>
      <protection hidden="1"/>
    </xf>
    <xf numFmtId="0" fontId="13" fillId="0" borderId="0" xfId="21" applyNumberFormat="1" applyFont="1" applyFill="1" applyProtection="1">
      <alignment/>
      <protection hidden="1"/>
    </xf>
    <xf numFmtId="168" fontId="20" fillId="0" borderId="0" xfId="21" applyNumberFormat="1" applyFont="1" applyFill="1" applyBorder="1" applyAlignment="1" applyProtection="1">
      <alignment vertical="center" wrapText="1"/>
      <protection hidden="1"/>
    </xf>
    <xf numFmtId="171" fontId="20" fillId="0" borderId="0" xfId="21" applyNumberFormat="1" applyFont="1" applyFill="1" applyBorder="1" applyAlignment="1" applyProtection="1">
      <alignment vertical="center"/>
      <protection hidden="1"/>
    </xf>
    <xf numFmtId="2" fontId="18" fillId="4" borderId="1" xfId="21" applyNumberFormat="1" applyFont="1" applyFill="1" applyBorder="1" applyAlignment="1" applyProtection="1">
      <alignment vertical="center" wrapText="1"/>
      <protection hidden="1"/>
    </xf>
    <xf numFmtId="166" fontId="18" fillId="4" borderId="2" xfId="21" applyNumberFormat="1" applyFont="1" applyFill="1" applyBorder="1" applyAlignment="1" applyProtection="1">
      <alignment horizontal="center" vertical="center" wrapText="1"/>
      <protection hidden="1"/>
    </xf>
    <xf numFmtId="166" fontId="18" fillId="5" borderId="2" xfId="21" applyNumberFormat="1" applyFont="1" applyFill="1" applyBorder="1" applyAlignment="1" applyProtection="1">
      <alignment vertical="center" wrapText="1"/>
      <protection hidden="1"/>
    </xf>
    <xf numFmtId="166" fontId="18" fillId="5" borderId="2" xfId="21" applyNumberFormat="1" applyFont="1" applyFill="1" applyBorder="1" applyAlignment="1" applyProtection="1">
      <alignment horizontal="center" vertical="center" wrapText="1"/>
      <protection hidden="1"/>
    </xf>
    <xf numFmtId="167" fontId="18" fillId="5" borderId="2" xfId="21" applyNumberFormat="1" applyFont="1" applyFill="1" applyBorder="1" applyAlignment="1" applyProtection="1">
      <alignment vertical="center" wrapText="1"/>
      <protection hidden="1"/>
    </xf>
    <xf numFmtId="0" fontId="21" fillId="4" borderId="3" xfId="21" applyFont="1" applyFill="1" applyBorder="1" applyAlignment="1" applyProtection="1">
      <alignment horizontal="center" vertical="center"/>
      <protection hidden="1"/>
    </xf>
    <xf numFmtId="0" fontId="13" fillId="0" borderId="32" xfId="23" applyFont="1" applyFill="1" applyBorder="1" applyAlignment="1" applyProtection="1">
      <alignment horizontal="center" vertical="center"/>
      <protection hidden="1"/>
    </xf>
    <xf numFmtId="0" fontId="13" fillId="0" borderId="33" xfId="21" applyFont="1" applyFill="1" applyBorder="1" applyAlignment="1" applyProtection="1">
      <alignment horizontal="center" vertical="center"/>
      <protection hidden="1"/>
    </xf>
    <xf numFmtId="0" fontId="13" fillId="0" borderId="33" xfId="21" applyFont="1" applyFill="1" applyBorder="1" applyAlignment="1" applyProtection="1">
      <alignment vertical="center" wrapText="1"/>
      <protection hidden="1"/>
    </xf>
    <xf numFmtId="4" fontId="13" fillId="0" borderId="33" xfId="21" applyNumberFormat="1" applyFont="1" applyFill="1" applyBorder="1" applyAlignment="1" applyProtection="1">
      <alignment horizontal="center" vertical="center" wrapText="1"/>
      <protection hidden="1"/>
    </xf>
    <xf numFmtId="2" fontId="13" fillId="0" borderId="33" xfId="21" applyNumberFormat="1" applyFont="1" applyFill="1" applyBorder="1" applyAlignment="1" applyProtection="1">
      <alignment vertical="center" wrapText="1"/>
      <protection hidden="1"/>
    </xf>
    <xf numFmtId="170" fontId="13" fillId="0" borderId="34" xfId="21" applyNumberFormat="1" applyFont="1" applyFill="1" applyBorder="1" applyAlignment="1" applyProtection="1">
      <alignment vertical="center" wrapText="1"/>
      <protection hidden="1"/>
    </xf>
    <xf numFmtId="0" fontId="13" fillId="0" borderId="35" xfId="21" applyFont="1" applyFill="1" applyBorder="1" applyAlignment="1" applyProtection="1">
      <alignment horizontal="center" vertical="center" wrapText="1"/>
      <protection hidden="1"/>
    </xf>
    <xf numFmtId="0" fontId="27" fillId="0" borderId="0" xfId="21" applyFont="1" applyFill="1" applyProtection="1">
      <alignment/>
      <protection hidden="1"/>
    </xf>
    <xf numFmtId="0" fontId="13" fillId="0" borderId="36" xfId="23" applyFont="1" applyFill="1" applyBorder="1" applyAlignment="1" applyProtection="1">
      <alignment horizontal="center" vertical="center"/>
      <protection hidden="1"/>
    </xf>
    <xf numFmtId="166" fontId="13" fillId="6" borderId="26" xfId="21" applyNumberFormat="1" applyFont="1" applyFill="1" applyBorder="1" applyAlignment="1" applyProtection="1">
      <alignment vertical="center" wrapText="1"/>
      <protection hidden="1"/>
    </xf>
    <xf numFmtId="0" fontId="13" fillId="6" borderId="26" xfId="21" applyFont="1" applyFill="1" applyBorder="1" applyAlignment="1" applyProtection="1">
      <alignment horizontal="center" vertical="center"/>
      <protection hidden="1"/>
    </xf>
    <xf numFmtId="2" fontId="13" fillId="0" borderId="23" xfId="21" applyNumberFormat="1" applyFont="1" applyFill="1" applyBorder="1" applyAlignment="1" applyProtection="1">
      <alignment vertical="center" wrapText="1"/>
      <protection hidden="1"/>
    </xf>
    <xf numFmtId="0" fontId="13" fillId="0" borderId="37" xfId="21" applyFont="1" applyFill="1" applyBorder="1" applyAlignment="1" applyProtection="1">
      <alignment horizontal="center" vertical="center" wrapText="1"/>
      <protection hidden="1"/>
    </xf>
    <xf numFmtId="0" fontId="13" fillId="3" borderId="26" xfId="21" applyFont="1" applyFill="1" applyBorder="1" applyAlignment="1" applyProtection="1">
      <alignment horizontal="left" vertical="center" wrapText="1"/>
      <protection hidden="1"/>
    </xf>
    <xf numFmtId="4" fontId="5" fillId="0" borderId="23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24" applyFont="1" applyBorder="1" applyAlignment="1" applyProtection="1">
      <alignment horizontal="center" vertical="center" wrapText="1"/>
      <protection hidden="1"/>
    </xf>
    <xf numFmtId="0" fontId="13" fillId="0" borderId="26" xfId="24" applyBorder="1" applyAlignment="1" applyProtection="1">
      <alignment horizontal="left" vertical="center" wrapText="1"/>
      <protection hidden="1"/>
    </xf>
    <xf numFmtId="4" fontId="5" fillId="0" borderId="26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21" applyFont="1" applyFill="1" applyBorder="1" applyAlignment="1" applyProtection="1">
      <alignment vertical="center" wrapText="1"/>
      <protection hidden="1"/>
    </xf>
    <xf numFmtId="168" fontId="13" fillId="0" borderId="28" xfId="21" applyNumberFormat="1" applyFont="1" applyFill="1" applyBorder="1" applyAlignment="1" applyProtection="1">
      <alignment vertical="center" wrapText="1"/>
      <protection hidden="1"/>
    </xf>
    <xf numFmtId="0" fontId="5" fillId="0" borderId="26" xfId="21" applyFont="1" applyFill="1" applyBorder="1" applyAlignment="1" applyProtection="1">
      <alignment horizontal="center" vertical="center"/>
      <protection hidden="1"/>
    </xf>
    <xf numFmtId="0" fontId="5" fillId="0" borderId="23" xfId="21" applyFont="1" applyFill="1" applyBorder="1" applyAlignment="1" applyProtection="1">
      <alignment vertical="center" wrapText="1"/>
      <protection hidden="1"/>
    </xf>
    <xf numFmtId="0" fontId="13" fillId="3" borderId="0" xfId="21" applyFont="1" applyFill="1" applyProtection="1">
      <alignment/>
      <protection hidden="1"/>
    </xf>
    <xf numFmtId="0" fontId="5" fillId="0" borderId="27" xfId="21" applyFont="1" applyFill="1" applyBorder="1" applyAlignment="1" applyProtection="1">
      <alignment horizontal="center" vertical="center"/>
      <protection hidden="1"/>
    </xf>
    <xf numFmtId="0" fontId="5" fillId="0" borderId="38" xfId="21" applyFont="1" applyFill="1" applyBorder="1" applyAlignment="1" applyProtection="1">
      <alignment vertical="center" wrapText="1"/>
      <protection hidden="1"/>
    </xf>
    <xf numFmtId="4" fontId="5" fillId="0" borderId="38" xfId="21" applyNumberFormat="1" applyFont="1" applyFill="1" applyBorder="1" applyAlignment="1" applyProtection="1">
      <alignment horizontal="center" vertical="center" wrapText="1"/>
      <protection hidden="1"/>
    </xf>
    <xf numFmtId="173" fontId="13" fillId="0" borderId="38" xfId="21" applyNumberFormat="1" applyFont="1" applyFill="1" applyBorder="1" applyAlignment="1" applyProtection="1">
      <alignment vertical="center" wrapText="1"/>
      <protection hidden="1"/>
    </xf>
    <xf numFmtId="0" fontId="13" fillId="0" borderId="39" xfId="23" applyFont="1" applyFill="1" applyBorder="1" applyAlignment="1" applyProtection="1">
      <alignment horizontal="center" vertical="center"/>
      <protection hidden="1"/>
    </xf>
    <xf numFmtId="0" fontId="13" fillId="0" borderId="29" xfId="21" applyFont="1" applyFill="1" applyBorder="1" applyAlignment="1" applyProtection="1">
      <alignment vertical="center" wrapText="1"/>
      <protection hidden="1"/>
    </xf>
    <xf numFmtId="174" fontId="13" fillId="0" borderId="29" xfId="21" applyNumberFormat="1" applyFont="1" applyFill="1" applyBorder="1" applyAlignment="1" applyProtection="1">
      <alignment vertical="center" wrapText="1"/>
      <protection hidden="1"/>
    </xf>
    <xf numFmtId="168" fontId="13" fillId="0" borderId="30" xfId="21" applyNumberFormat="1" applyFont="1" applyFill="1" applyBorder="1" applyAlignment="1" applyProtection="1">
      <alignment vertical="center" wrapText="1"/>
      <protection hidden="1"/>
    </xf>
    <xf numFmtId="0" fontId="13" fillId="0" borderId="40" xfId="21" applyFont="1" applyFill="1" applyBorder="1" applyAlignment="1" applyProtection="1">
      <alignment horizontal="center" vertical="center" wrapText="1"/>
      <protection hidden="1"/>
    </xf>
    <xf numFmtId="2" fontId="18" fillId="4" borderId="4" xfId="21" applyNumberFormat="1" applyFont="1" applyFill="1" applyBorder="1" applyAlignment="1" applyProtection="1">
      <alignment vertical="center" wrapText="1"/>
      <protection hidden="1"/>
    </xf>
    <xf numFmtId="166" fontId="18" fillId="4" borderId="0" xfId="21" applyNumberFormat="1" applyFont="1" applyFill="1" applyBorder="1" applyAlignment="1" applyProtection="1">
      <alignment horizontal="center" vertical="center" wrapText="1"/>
      <protection hidden="1"/>
    </xf>
    <xf numFmtId="166" fontId="18" fillId="4" borderId="0" xfId="21" applyNumberFormat="1" applyFont="1" applyFill="1" applyBorder="1" applyAlignment="1" applyProtection="1">
      <alignment vertical="center" wrapText="1"/>
      <protection hidden="1"/>
    </xf>
    <xf numFmtId="168" fontId="18" fillId="4" borderId="0" xfId="21" applyNumberFormat="1" applyFont="1" applyFill="1" applyBorder="1" applyAlignment="1" applyProtection="1">
      <alignment horizontal="center" vertical="center" wrapText="1"/>
      <protection hidden="1"/>
    </xf>
    <xf numFmtId="167" fontId="18" fillId="4" borderId="0" xfId="21" applyNumberFormat="1" applyFont="1" applyFill="1" applyBorder="1" applyAlignment="1" applyProtection="1">
      <alignment vertical="center" wrapText="1"/>
      <protection hidden="1"/>
    </xf>
    <xf numFmtId="0" fontId="21" fillId="4" borderId="5" xfId="21" applyFont="1" applyFill="1" applyBorder="1" applyAlignment="1" applyProtection="1">
      <alignment horizontal="center" vertical="center"/>
      <protection hidden="1"/>
    </xf>
    <xf numFmtId="0" fontId="13" fillId="0" borderId="33" xfId="21" applyFont="1" applyFill="1" applyBorder="1" applyAlignment="1" applyProtection="1">
      <alignment horizontal="center" vertical="center" wrapText="1"/>
      <protection hidden="1"/>
    </xf>
    <xf numFmtId="0" fontId="13" fillId="0" borderId="33" xfId="21" applyFont="1" applyFill="1" applyBorder="1" applyAlignment="1" applyProtection="1">
      <alignment horizontal="left" vertical="center" wrapText="1"/>
      <protection hidden="1"/>
    </xf>
    <xf numFmtId="173" fontId="13" fillId="0" borderId="33" xfId="21" applyNumberFormat="1" applyFont="1" applyFill="1" applyBorder="1" applyAlignment="1" applyProtection="1">
      <alignment vertical="center" wrapText="1"/>
      <protection hidden="1"/>
    </xf>
    <xf numFmtId="170" fontId="13" fillId="0" borderId="33" xfId="21" applyNumberFormat="1" applyFont="1" applyFill="1" applyBorder="1" applyAlignment="1" applyProtection="1">
      <alignment vertical="center" wrapText="1"/>
      <protection hidden="1"/>
    </xf>
    <xf numFmtId="170" fontId="13" fillId="0" borderId="23" xfId="21" applyNumberFormat="1" applyFont="1" applyFill="1" applyBorder="1" applyAlignment="1" applyProtection="1">
      <alignment vertical="center" wrapText="1"/>
      <protection hidden="1"/>
    </xf>
    <xf numFmtId="0" fontId="13" fillId="0" borderId="38" xfId="21" applyFont="1" applyFill="1" applyBorder="1" applyAlignment="1" applyProtection="1">
      <alignment horizontal="center" vertical="center"/>
      <protection hidden="1"/>
    </xf>
    <xf numFmtId="0" fontId="13" fillId="0" borderId="38" xfId="21" applyFont="1" applyFill="1" applyBorder="1" applyAlignment="1" applyProtection="1">
      <alignment vertical="center" wrapText="1"/>
      <protection hidden="1"/>
    </xf>
    <xf numFmtId="0" fontId="13" fillId="0" borderId="23" xfId="23" applyFont="1" applyFill="1" applyBorder="1" applyAlignment="1" applyProtection="1">
      <alignment horizontal="center" vertical="center" wrapText="1"/>
      <protection hidden="1"/>
    </xf>
    <xf numFmtId="170" fontId="13" fillId="6" borderId="28" xfId="21" applyNumberFormat="1" applyFont="1" applyFill="1" applyBorder="1" applyAlignment="1" applyProtection="1">
      <alignment vertical="center" wrapText="1"/>
      <protection hidden="1"/>
    </xf>
    <xf numFmtId="0" fontId="13" fillId="0" borderId="0" xfId="21" applyFont="1" applyFill="1" applyAlignment="1" applyProtection="1">
      <alignment vertical="center"/>
      <protection hidden="1"/>
    </xf>
    <xf numFmtId="0" fontId="13" fillId="0" borderId="27" xfId="21" applyFont="1" applyFill="1" applyBorder="1" applyAlignment="1" applyProtection="1">
      <alignment horizontal="center" vertical="center"/>
      <protection hidden="1"/>
    </xf>
    <xf numFmtId="0" fontId="13" fillId="0" borderId="27" xfId="21" applyFont="1" applyFill="1" applyBorder="1" applyAlignment="1" applyProtection="1">
      <alignment vertical="center" wrapText="1"/>
      <protection hidden="1"/>
    </xf>
    <xf numFmtId="0" fontId="13" fillId="0" borderId="26" xfId="23" applyFont="1" applyFill="1" applyBorder="1" applyAlignment="1" applyProtection="1">
      <alignment horizontal="center" vertical="center" wrapText="1"/>
      <protection hidden="1"/>
    </xf>
    <xf numFmtId="0" fontId="13" fillId="0" borderId="0" xfId="21" applyFont="1" applyFill="1" applyAlignment="1" applyProtection="1">
      <alignment horizontal="right"/>
      <protection hidden="1"/>
    </xf>
    <xf numFmtId="170" fontId="13" fillId="6" borderId="26" xfId="21" applyNumberFormat="1" applyFont="1" applyFill="1" applyBorder="1" applyAlignment="1" applyProtection="1">
      <alignment vertical="center" wrapText="1"/>
      <protection hidden="1"/>
    </xf>
    <xf numFmtId="166" fontId="13" fillId="0" borderId="26" xfId="21" applyNumberFormat="1" applyFont="1" applyFill="1" applyBorder="1" applyAlignment="1" applyProtection="1">
      <alignment horizontal="center" vertical="center" wrapText="1"/>
      <protection hidden="1"/>
    </xf>
    <xf numFmtId="173" fontId="13" fillId="0" borderId="26" xfId="21" applyNumberFormat="1" applyFont="1" applyFill="1" applyBorder="1" applyAlignment="1" applyProtection="1">
      <alignment horizontal="right" vertical="center" wrapText="1"/>
      <protection hidden="1"/>
    </xf>
    <xf numFmtId="0" fontId="5" fillId="0" borderId="26" xfId="21" applyFont="1" applyFill="1" applyBorder="1" applyAlignment="1" applyProtection="1">
      <alignment vertical="center" wrapText="1"/>
      <protection hidden="1"/>
    </xf>
    <xf numFmtId="170" fontId="13" fillId="0" borderId="41" xfId="21" applyNumberFormat="1" applyFont="1" applyFill="1" applyBorder="1" applyAlignment="1" applyProtection="1">
      <alignment vertical="center" wrapText="1"/>
      <protection hidden="1"/>
    </xf>
    <xf numFmtId="0" fontId="13" fillId="0" borderId="42" xfId="23" applyFont="1" applyFill="1" applyBorder="1" applyAlignment="1" applyProtection="1">
      <alignment horizontal="center" vertical="center"/>
      <protection hidden="1"/>
    </xf>
    <xf numFmtId="2" fontId="18" fillId="4" borderId="6" xfId="21" applyNumberFormat="1" applyFont="1" applyFill="1" applyBorder="1" applyAlignment="1" applyProtection="1">
      <alignment vertical="center" wrapText="1"/>
      <protection hidden="1"/>
    </xf>
    <xf numFmtId="166" fontId="18" fillId="4" borderId="7" xfId="21" applyNumberFormat="1" applyFont="1" applyFill="1" applyBorder="1" applyAlignment="1" applyProtection="1">
      <alignment horizontal="center" vertical="center" wrapText="1"/>
      <protection hidden="1"/>
    </xf>
    <xf numFmtId="166" fontId="18" fillId="4" borderId="7" xfId="21" applyNumberFormat="1" applyFont="1" applyFill="1" applyBorder="1" applyAlignment="1" applyProtection="1">
      <alignment vertical="center" wrapText="1"/>
      <protection hidden="1"/>
    </xf>
    <xf numFmtId="2" fontId="21" fillId="4" borderId="7" xfId="21" applyNumberFormat="1" applyFont="1" applyFill="1" applyBorder="1" applyProtection="1">
      <alignment/>
      <protection hidden="1"/>
    </xf>
    <xf numFmtId="167" fontId="18" fillId="4" borderId="7" xfId="21" applyNumberFormat="1" applyFont="1" applyFill="1" applyBorder="1" applyAlignment="1" applyProtection="1">
      <alignment vertical="center" wrapText="1"/>
      <protection hidden="1"/>
    </xf>
    <xf numFmtId="0" fontId="21" fillId="4" borderId="8" xfId="21" applyFont="1" applyFill="1" applyBorder="1" applyAlignment="1" applyProtection="1">
      <alignment horizontal="center" vertical="center"/>
      <protection hidden="1"/>
    </xf>
    <xf numFmtId="0" fontId="13" fillId="0" borderId="36" xfId="21" applyFont="1" applyFill="1" applyBorder="1" applyAlignment="1" applyProtection="1">
      <alignment horizontal="center" vertical="center" wrapText="1"/>
      <protection hidden="1"/>
    </xf>
    <xf numFmtId="170" fontId="13" fillId="7" borderId="26" xfId="23" applyNumberFormat="1" applyFont="1" applyFill="1" applyBorder="1" applyAlignment="1" applyProtection="1">
      <alignment vertical="center" wrapText="1"/>
      <protection hidden="1"/>
    </xf>
    <xf numFmtId="0" fontId="13" fillId="0" borderId="37" xfId="21" applyFont="1" applyBorder="1" applyAlignment="1" applyProtection="1">
      <alignment horizontal="center" vertical="center"/>
      <protection hidden="1"/>
    </xf>
    <xf numFmtId="0" fontId="13" fillId="0" borderId="39" xfId="21" applyFont="1" applyFill="1" applyBorder="1" applyAlignment="1" applyProtection="1">
      <alignment horizontal="center" vertical="center" wrapText="1"/>
      <protection hidden="1"/>
    </xf>
    <xf numFmtId="0" fontId="13" fillId="0" borderId="43" xfId="21" applyFont="1" applyFill="1" applyBorder="1" applyAlignment="1" applyProtection="1">
      <alignment horizontal="center" vertical="center" wrapText="1"/>
      <protection hidden="1"/>
    </xf>
    <xf numFmtId="0" fontId="13" fillId="0" borderId="43" xfId="21" applyFont="1" applyFill="1" applyBorder="1" applyAlignment="1" applyProtection="1">
      <alignment vertical="center" wrapText="1"/>
      <protection hidden="1"/>
    </xf>
    <xf numFmtId="0" fontId="13" fillId="0" borderId="43" xfId="21" applyFont="1" applyFill="1" applyBorder="1" applyAlignment="1" applyProtection="1">
      <alignment horizontal="center" vertical="center"/>
      <protection hidden="1"/>
    </xf>
    <xf numFmtId="173" fontId="13" fillId="0" borderId="43" xfId="21" applyNumberFormat="1" applyFont="1" applyFill="1" applyBorder="1" applyAlignment="1" applyProtection="1">
      <alignment vertical="center" wrapText="1"/>
      <protection hidden="1"/>
    </xf>
    <xf numFmtId="170" fontId="13" fillId="0" borderId="43" xfId="21" applyNumberFormat="1" applyFont="1" applyFill="1" applyBorder="1" applyAlignment="1" applyProtection="1">
      <alignment vertical="center" wrapText="1"/>
      <protection hidden="1"/>
    </xf>
    <xf numFmtId="0" fontId="13" fillId="0" borderId="44" xfId="21" applyFont="1" applyBorder="1" applyAlignment="1" applyProtection="1">
      <alignment horizontal="center" vertical="center"/>
      <protection hidden="1"/>
    </xf>
    <xf numFmtId="166" fontId="18" fillId="4" borderId="10" xfId="21" applyNumberFormat="1" applyFont="1" applyFill="1" applyBorder="1" applyAlignment="1" applyProtection="1">
      <alignment vertical="center" wrapText="1"/>
      <protection hidden="1"/>
    </xf>
    <xf numFmtId="2" fontId="21" fillId="4" borderId="10" xfId="21" applyNumberFormat="1" applyFont="1" applyFill="1" applyBorder="1" applyProtection="1">
      <alignment/>
      <protection hidden="1"/>
    </xf>
    <xf numFmtId="167" fontId="18" fillId="4" borderId="10" xfId="21" applyNumberFormat="1" applyFont="1" applyFill="1" applyBorder="1" applyAlignment="1" applyProtection="1">
      <alignment vertical="center" wrapText="1"/>
      <protection hidden="1"/>
    </xf>
    <xf numFmtId="166" fontId="13" fillId="3" borderId="36" xfId="21" applyNumberFormat="1" applyFont="1" applyFill="1" applyBorder="1" applyAlignment="1" applyProtection="1">
      <alignment horizontal="center" vertical="center" wrapText="1"/>
      <protection hidden="1"/>
    </xf>
    <xf numFmtId="172" fontId="13" fillId="0" borderId="0" xfId="21" applyNumberFormat="1" applyFont="1" applyFill="1" applyProtection="1">
      <alignment/>
      <protection hidden="1"/>
    </xf>
    <xf numFmtId="0" fontId="13" fillId="8" borderId="23" xfId="21" applyFont="1" applyFill="1" applyBorder="1" applyAlignment="1" applyProtection="1">
      <alignment horizontal="center" vertical="center"/>
      <protection hidden="1"/>
    </xf>
    <xf numFmtId="173" fontId="13" fillId="8" borderId="27" xfId="21" applyNumberFormat="1" applyFont="1" applyFill="1" applyBorder="1" applyAlignment="1" applyProtection="1">
      <alignment vertical="center" wrapText="1"/>
      <protection hidden="1"/>
    </xf>
    <xf numFmtId="166" fontId="13" fillId="3" borderId="45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38" xfId="21" applyFont="1" applyFill="1" applyBorder="1" applyAlignment="1" applyProtection="1">
      <alignment vertical="center"/>
      <protection hidden="1"/>
    </xf>
    <xf numFmtId="170" fontId="13" fillId="0" borderId="27" xfId="21" applyNumberFormat="1" applyFont="1" applyFill="1" applyBorder="1" applyAlignment="1" applyProtection="1">
      <alignment vertical="center" wrapText="1"/>
      <protection hidden="1"/>
    </xf>
    <xf numFmtId="0" fontId="13" fillId="0" borderId="46" xfId="21" applyFont="1" applyFill="1" applyBorder="1" applyAlignment="1" applyProtection="1">
      <alignment horizontal="center" vertical="center" wrapText="1"/>
      <protection hidden="1"/>
    </xf>
    <xf numFmtId="166" fontId="18" fillId="4" borderId="9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32" xfId="21" applyFont="1" applyFill="1" applyBorder="1" applyAlignment="1" applyProtection="1">
      <alignment horizontal="center" vertical="center" wrapText="1"/>
      <protection hidden="1"/>
    </xf>
    <xf numFmtId="166" fontId="13" fillId="0" borderId="33" xfId="21" applyNumberFormat="1" applyFont="1" applyFill="1" applyBorder="1" applyAlignment="1" applyProtection="1">
      <alignment vertical="center" wrapText="1"/>
      <protection hidden="1"/>
    </xf>
    <xf numFmtId="0" fontId="13" fillId="0" borderId="33" xfId="21" applyNumberFormat="1" applyFont="1" applyFill="1" applyBorder="1" applyAlignment="1" applyProtection="1">
      <alignment horizontal="center" vertical="center" wrapText="1"/>
      <protection hidden="1"/>
    </xf>
    <xf numFmtId="173" fontId="13" fillId="0" borderId="33" xfId="23" applyNumberFormat="1" applyFont="1" applyFill="1" applyBorder="1" applyAlignment="1" applyProtection="1">
      <alignment vertical="center" wrapText="1"/>
      <protection hidden="1"/>
    </xf>
    <xf numFmtId="170" fontId="13" fillId="7" borderId="34" xfId="23" applyNumberFormat="1" applyFont="1" applyFill="1" applyBorder="1" applyAlignment="1" applyProtection="1">
      <alignment vertical="center" wrapText="1"/>
      <protection hidden="1"/>
    </xf>
    <xf numFmtId="0" fontId="13" fillId="0" borderId="35" xfId="21" applyFont="1" applyBorder="1" applyAlignment="1" applyProtection="1">
      <alignment horizontal="center" vertical="center"/>
      <protection hidden="1"/>
    </xf>
    <xf numFmtId="166" fontId="13" fillId="0" borderId="23" xfId="21" applyNumberFormat="1" applyFont="1" applyFill="1" applyBorder="1" applyAlignment="1" applyProtection="1">
      <alignment vertical="center" wrapText="1"/>
      <protection hidden="1"/>
    </xf>
    <xf numFmtId="170" fontId="13" fillId="7" borderId="24" xfId="23" applyNumberFormat="1" applyFont="1" applyFill="1" applyBorder="1" applyAlignment="1" applyProtection="1">
      <alignment vertical="center" wrapText="1"/>
      <protection hidden="1"/>
    </xf>
    <xf numFmtId="0" fontId="13" fillId="9" borderId="26" xfId="0" applyFont="1" applyFill="1" applyBorder="1" applyAlignment="1" applyProtection="1">
      <alignment horizontal="center" vertical="center"/>
      <protection hidden="1"/>
    </xf>
    <xf numFmtId="0" fontId="13" fillId="9" borderId="26" xfId="0" applyFont="1" applyFill="1" applyBorder="1" applyAlignment="1" applyProtection="1">
      <alignment vertical="center"/>
      <protection hidden="1"/>
    </xf>
    <xf numFmtId="173" fontId="13" fillId="9" borderId="26" xfId="0" applyNumberFormat="1" applyFont="1" applyFill="1" applyBorder="1" applyAlignment="1" applyProtection="1">
      <alignment vertical="center" wrapText="1"/>
      <protection hidden="1"/>
    </xf>
    <xf numFmtId="170" fontId="13" fillId="6" borderId="41" xfId="21" applyNumberFormat="1" applyFont="1" applyFill="1" applyBorder="1" applyAlignment="1" applyProtection="1">
      <alignment vertical="center" wrapText="1"/>
      <protection hidden="1"/>
    </xf>
    <xf numFmtId="0" fontId="13" fillId="0" borderId="42" xfId="21" applyFont="1" applyFill="1" applyBorder="1" applyAlignment="1" applyProtection="1">
      <alignment horizontal="center" vertical="center" wrapText="1"/>
      <protection hidden="1"/>
    </xf>
    <xf numFmtId="166" fontId="13" fillId="0" borderId="29" xfId="21" applyNumberFormat="1" applyFont="1" applyFill="1" applyBorder="1" applyAlignment="1" applyProtection="1">
      <alignment vertical="center" wrapText="1"/>
      <protection hidden="1"/>
    </xf>
    <xf numFmtId="0" fontId="13" fillId="0" borderId="29" xfId="21" applyNumberFormat="1" applyFont="1" applyFill="1" applyBorder="1" applyAlignment="1" applyProtection="1">
      <alignment horizontal="center" vertical="center" wrapText="1"/>
      <protection hidden="1"/>
    </xf>
    <xf numFmtId="173" fontId="13" fillId="0" borderId="29" xfId="23" applyNumberFormat="1" applyFont="1" applyFill="1" applyBorder="1" applyAlignment="1" applyProtection="1">
      <alignment vertical="center" wrapText="1"/>
      <protection hidden="1"/>
    </xf>
    <xf numFmtId="170" fontId="13" fillId="7" borderId="29" xfId="23" applyNumberFormat="1" applyFont="1" applyFill="1" applyBorder="1" applyAlignment="1" applyProtection="1">
      <alignment vertical="center" wrapText="1"/>
      <protection hidden="1"/>
    </xf>
    <xf numFmtId="0" fontId="13" fillId="0" borderId="40" xfId="21" applyFont="1" applyBorder="1" applyAlignment="1" applyProtection="1">
      <alignment horizontal="center" vertical="center"/>
      <protection hidden="1"/>
    </xf>
    <xf numFmtId="168" fontId="13" fillId="0" borderId="26" xfId="21" applyNumberFormat="1" applyFont="1" applyFill="1" applyBorder="1" applyAlignment="1" applyProtection="1">
      <alignment vertical="center" wrapText="1"/>
      <protection hidden="1" locked="0"/>
    </xf>
    <xf numFmtId="168" fontId="13" fillId="0" borderId="29" xfId="21" applyNumberFormat="1" applyFont="1" applyFill="1" applyBorder="1" applyAlignment="1" applyProtection="1">
      <alignment vertical="center" wrapText="1"/>
      <protection hidden="1" locked="0"/>
    </xf>
    <xf numFmtId="168" fontId="13" fillId="0" borderId="47" xfId="21" applyNumberFormat="1" applyFont="1" applyFill="1" applyBorder="1" applyAlignment="1" applyProtection="1">
      <alignment vertical="center" wrapText="1"/>
      <protection hidden="1" locked="0"/>
    </xf>
    <xf numFmtId="168" fontId="13" fillId="0" borderId="48" xfId="21" applyNumberFormat="1" applyFont="1" applyFill="1" applyBorder="1" applyAlignment="1" applyProtection="1">
      <alignment vertical="center" wrapText="1"/>
      <protection hidden="1" locked="0"/>
    </xf>
    <xf numFmtId="168" fontId="13" fillId="0" borderId="33" xfId="21" applyNumberFormat="1" applyFont="1" applyFill="1" applyBorder="1" applyAlignment="1" applyProtection="1">
      <alignment vertical="center" wrapText="1"/>
      <protection hidden="1" locked="0"/>
    </xf>
    <xf numFmtId="168" fontId="13" fillId="0" borderId="23" xfId="21" applyNumberFormat="1" applyFont="1" applyFill="1" applyBorder="1" applyAlignment="1" applyProtection="1">
      <alignment vertical="center" wrapText="1"/>
      <protection hidden="1" locked="0"/>
    </xf>
    <xf numFmtId="168" fontId="13" fillId="0" borderId="49" xfId="21" applyNumberFormat="1" applyFont="1" applyFill="1" applyBorder="1" applyAlignment="1" applyProtection="1">
      <alignment vertical="center" wrapText="1"/>
      <protection hidden="1" locked="0"/>
    </xf>
    <xf numFmtId="168" fontId="13" fillId="0" borderId="50" xfId="21" applyNumberFormat="1" applyFont="1" applyFill="1" applyBorder="1" applyAlignment="1" applyProtection="1">
      <alignment vertical="center" wrapText="1"/>
      <protection hidden="1" locked="0"/>
    </xf>
    <xf numFmtId="168" fontId="13" fillId="0" borderId="47" xfId="21" applyNumberFormat="1" applyFont="1" applyFill="1" applyBorder="1" applyAlignment="1" applyProtection="1">
      <alignment horizontal="center" vertical="center" wrapText="1"/>
      <protection hidden="1" locked="0"/>
    </xf>
    <xf numFmtId="168" fontId="13" fillId="0" borderId="51" xfId="21" applyNumberFormat="1" applyFont="1" applyFill="1" applyBorder="1" applyAlignment="1" applyProtection="1">
      <alignment vertical="center" wrapText="1"/>
      <protection hidden="1" locked="0"/>
    </xf>
    <xf numFmtId="168" fontId="13" fillId="0" borderId="27" xfId="21" applyNumberFormat="1" applyFont="1" applyFill="1" applyBorder="1" applyAlignment="1" applyProtection="1">
      <alignment vertical="center" wrapText="1"/>
      <protection hidden="1" locked="0"/>
    </xf>
    <xf numFmtId="168" fontId="13" fillId="0" borderId="52" xfId="21" applyNumberFormat="1" applyFont="1" applyFill="1" applyBorder="1" applyAlignment="1" applyProtection="1">
      <alignment vertical="center" wrapText="1"/>
      <protection hidden="1" locked="0"/>
    </xf>
    <xf numFmtId="168" fontId="13" fillId="0" borderId="49" xfId="21" applyNumberFormat="1" applyFont="1" applyFill="1" applyBorder="1" applyAlignment="1" applyProtection="1">
      <alignment vertical="top" wrapText="1"/>
      <protection hidden="1" locked="0"/>
    </xf>
    <xf numFmtId="168" fontId="13" fillId="0" borderId="47" xfId="21" applyNumberFormat="1" applyFont="1" applyFill="1" applyBorder="1" applyAlignment="1" applyProtection="1">
      <alignment vertical="top" wrapText="1"/>
      <protection hidden="1" locked="0"/>
    </xf>
    <xf numFmtId="168" fontId="13" fillId="9" borderId="47" xfId="0" applyNumberFormat="1" applyFont="1" applyFill="1" applyBorder="1" applyAlignment="1" applyProtection="1">
      <alignment vertical="center" wrapText="1"/>
      <protection hidden="1" locked="0"/>
    </xf>
    <xf numFmtId="168" fontId="13" fillId="0" borderId="48" xfId="21" applyNumberFormat="1" applyFont="1" applyFill="1" applyBorder="1" applyAlignment="1" applyProtection="1">
      <alignment vertical="top" wrapText="1"/>
      <protection hidden="1" locked="0"/>
    </xf>
    <xf numFmtId="0" fontId="11" fillId="3" borderId="1" xfId="21" applyFont="1" applyFill="1" applyBorder="1" applyAlignment="1" applyProtection="1">
      <alignment vertical="center"/>
      <protection hidden="1" locked="0"/>
    </xf>
    <xf numFmtId="0" fontId="17" fillId="3" borderId="3" xfId="21" applyFont="1" applyFill="1" applyBorder="1" applyAlignment="1" applyProtection="1">
      <alignment vertical="center"/>
      <protection hidden="1" locked="0"/>
    </xf>
    <xf numFmtId="0" fontId="10" fillId="3" borderId="4" xfId="21" applyFont="1" applyFill="1" applyBorder="1" applyAlignment="1" applyProtection="1">
      <alignment vertical="center"/>
      <protection hidden="1" locked="0"/>
    </xf>
    <xf numFmtId="0" fontId="16" fillId="3" borderId="5" xfId="21" applyFont="1" applyFill="1" applyBorder="1" applyProtection="1">
      <alignment/>
      <protection hidden="1" locked="0"/>
    </xf>
    <xf numFmtId="14" fontId="16" fillId="3" borderId="5" xfId="21" applyNumberFormat="1" applyFont="1" applyFill="1" applyBorder="1" applyAlignment="1" applyProtection="1">
      <alignment horizontal="left" vertical="center"/>
      <protection hidden="1" locked="0"/>
    </xf>
    <xf numFmtId="0" fontId="10" fillId="3" borderId="6" xfId="21" applyFont="1" applyFill="1" applyBorder="1" applyAlignment="1" applyProtection="1">
      <alignment vertical="center"/>
      <protection hidden="1" locked="0"/>
    </xf>
    <xf numFmtId="0" fontId="16" fillId="3" borderId="8" xfId="21" applyFont="1" applyFill="1" applyBorder="1" applyAlignment="1" applyProtection="1">
      <alignment vertical="center"/>
      <protection hidden="1" locked="0"/>
    </xf>
    <xf numFmtId="0" fontId="16" fillId="3" borderId="0" xfId="21" applyFont="1" applyFill="1" applyBorder="1" applyAlignment="1" applyProtection="1">
      <alignment horizontal="left" vertical="center"/>
      <protection hidden="1" locked="0"/>
    </xf>
    <xf numFmtId="0" fontId="16" fillId="3" borderId="5" xfId="21" applyFont="1" applyFill="1" applyBorder="1" applyAlignment="1" applyProtection="1">
      <alignment horizontal="left" vertical="center"/>
      <protection hidden="1" locked="0"/>
    </xf>
    <xf numFmtId="0" fontId="5" fillId="3" borderId="0" xfId="21" applyFont="1" applyFill="1" applyBorder="1" applyAlignment="1" applyProtection="1">
      <alignment horizontal="center" vertical="center"/>
      <protection hidden="1" locked="0"/>
    </xf>
    <xf numFmtId="0" fontId="5" fillId="3" borderId="5" xfId="21" applyFont="1" applyFill="1" applyBorder="1" applyAlignment="1" applyProtection="1">
      <alignment horizontal="center" vertical="center"/>
      <protection hidden="1" locked="0"/>
    </xf>
    <xf numFmtId="0" fontId="5" fillId="3" borderId="6" xfId="21" applyFont="1" applyFill="1" applyBorder="1" applyAlignment="1" applyProtection="1">
      <alignment horizontal="center" vertical="center"/>
      <protection hidden="1" locked="0"/>
    </xf>
    <xf numFmtId="0" fontId="5" fillId="3" borderId="8" xfId="21" applyFont="1" applyFill="1" applyBorder="1" applyAlignment="1" applyProtection="1">
      <alignment horizontal="center" vertical="center"/>
      <protection hidden="1" locked="0"/>
    </xf>
    <xf numFmtId="0" fontId="16" fillId="3" borderId="3" xfId="21" applyFont="1" applyFill="1" applyBorder="1" applyAlignment="1" applyProtection="1">
      <alignment vertical="center"/>
      <protection hidden="1" locked="0"/>
    </xf>
    <xf numFmtId="0" fontId="16" fillId="3" borderId="5" xfId="21" applyFont="1" applyFill="1" applyBorder="1" applyAlignment="1" applyProtection="1">
      <alignment vertical="center"/>
      <protection hidden="1"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Normal" xfId="21"/>
    <cellStyle name="Excel Built-in Normal 2" xfId="22"/>
    <cellStyle name="TableStyleLight1" xfId="23"/>
    <cellStyle name="normální_POL.XLS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8F8F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8F8F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workbookViewId="0" topLeftCell="A1">
      <selection activeCell="A27" sqref="A27"/>
    </sheetView>
  </sheetViews>
  <sheetFormatPr defaultColWidth="9.140625" defaultRowHeight="11.25" customHeight="1"/>
  <cols>
    <col min="1" max="1" width="52.7109375" style="1" customWidth="1"/>
    <col min="2" max="2" width="15.7109375" style="1" customWidth="1"/>
    <col min="3" max="3" width="52.7109375" style="1" customWidth="1"/>
    <col min="4" max="4" width="15.7109375" style="1" customWidth="1"/>
    <col min="5" max="16384" width="9.140625" style="1" customWidth="1"/>
  </cols>
  <sheetData>
    <row r="1" ht="2.1" customHeight="1" thickBot="1"/>
    <row r="2" spans="1:4" ht="27.95" customHeight="1" thickBot="1">
      <c r="A2" s="2"/>
      <c r="B2" s="3" t="s">
        <v>30</v>
      </c>
      <c r="C2" s="3"/>
      <c r="D2" s="4"/>
    </row>
    <row r="3" spans="1:4" ht="24" customHeight="1">
      <c r="A3" s="5" t="s">
        <v>15</v>
      </c>
      <c r="B3" s="6" t="str">
        <f>'Náklady stavby'!D3</f>
        <v>Zajištění stability skalních stěn, Dolánky u Turnova</v>
      </c>
      <c r="C3" s="6"/>
      <c r="D3" s="7"/>
    </row>
    <row r="4" spans="1:4" ht="15" customHeight="1">
      <c r="A4" s="8" t="s">
        <v>17</v>
      </c>
      <c r="B4" s="9" t="str">
        <f>'Náklady stavby'!D4</f>
        <v>město Turnov, Antonína Dvořáka 335, 511 01 Turnov</v>
      </c>
      <c r="C4" s="9"/>
      <c r="D4" s="10"/>
    </row>
    <row r="5" spans="1:4" ht="15" customHeight="1">
      <c r="A5" s="8" t="s">
        <v>16</v>
      </c>
      <c r="B5" s="11" t="s">
        <v>70</v>
      </c>
      <c r="C5" s="11"/>
      <c r="D5" s="12"/>
    </row>
    <row r="6" spans="1:4" ht="15" customHeight="1">
      <c r="A6" s="8" t="s">
        <v>18</v>
      </c>
      <c r="B6" s="255"/>
      <c r="C6" s="255"/>
      <c r="D6" s="256"/>
    </row>
    <row r="7" spans="1:4" ht="15" customHeight="1">
      <c r="A7" s="8" t="s">
        <v>0</v>
      </c>
      <c r="B7" s="13">
        <f ca="1">NOW()</f>
        <v>44911.55271655093</v>
      </c>
      <c r="C7" s="14" t="s">
        <v>136</v>
      </c>
      <c r="D7" s="15"/>
    </row>
    <row r="8" spans="1:4" ht="6" customHeight="1" thickBot="1">
      <c r="A8" s="16"/>
      <c r="B8" s="17"/>
      <c r="C8" s="17"/>
      <c r="D8" s="18"/>
    </row>
    <row r="9" spans="1:4" ht="27.95" customHeight="1" thickBot="1">
      <c r="A9" s="19"/>
      <c r="B9" s="20" t="s">
        <v>1</v>
      </c>
      <c r="C9" s="20"/>
      <c r="D9" s="21"/>
    </row>
    <row r="10" spans="1:4" ht="12" customHeight="1">
      <c r="A10" s="22" t="s">
        <v>19</v>
      </c>
      <c r="B10" s="23"/>
      <c r="C10" s="24" t="s">
        <v>24</v>
      </c>
      <c r="D10" s="25"/>
    </row>
    <row r="11" spans="1:4" ht="27.95" customHeight="1">
      <c r="A11" s="26" t="str">
        <f>'Náklady stavby'!D6</f>
        <v>Přípravné a přidružené práce a dočasné zajištění staveniště</v>
      </c>
      <c r="B11" s="27">
        <f>'Náklady stavby'!H6</f>
        <v>0</v>
      </c>
      <c r="C11" s="28" t="str">
        <f>'Náklady stavby'!D62</f>
        <v>Geodetické práce před výstavbou</v>
      </c>
      <c r="D11" s="29">
        <f>'Náklady stavby'!H62</f>
        <v>0</v>
      </c>
    </row>
    <row r="12" spans="1:11" ht="27.95" customHeight="1">
      <c r="A12" s="26" t="str">
        <f>'Náklady stavby'!D13</f>
        <v>Odstranění vegetace, očištění, odtěžení a obnova aku. prostoru</v>
      </c>
      <c r="B12" s="27">
        <f>'Náklady stavby'!H13</f>
        <v>0</v>
      </c>
      <c r="C12" s="28" t="str">
        <f>'Náklady stavby'!D63</f>
        <v>Geodetické práce po výstavbě</v>
      </c>
      <c r="D12" s="29">
        <f>'Náklady stavby'!H63</f>
        <v>0</v>
      </c>
      <c r="H12" s="30"/>
      <c r="I12" s="30"/>
      <c r="J12" s="30"/>
      <c r="K12" s="30"/>
    </row>
    <row r="13" spans="1:11" ht="27.95" customHeight="1">
      <c r="A13" s="26" t="str">
        <f>'Náklady stavby'!D28</f>
        <v xml:space="preserve">Lokální kotvení skalních bloků </v>
      </c>
      <c r="B13" s="27">
        <f>'Náklady stavby'!H28</f>
        <v>0</v>
      </c>
      <c r="C13" s="28" t="str">
        <f>'Náklady stavby'!D64</f>
        <v>Projektová dokumentace skutečného provedení stavby - DSPS</v>
      </c>
      <c r="D13" s="29">
        <f>'Náklady stavby'!H64</f>
        <v>0</v>
      </c>
      <c r="H13" s="30"/>
      <c r="I13" s="30"/>
      <c r="J13" s="30"/>
      <c r="K13" s="30"/>
    </row>
    <row r="14" spans="1:11" ht="27.95" customHeight="1">
      <c r="A14" s="26" t="str">
        <f>'Náklady stavby'!D38</f>
        <v>Kamenné kotvené podezdívky</v>
      </c>
      <c r="B14" s="27">
        <f>'Náklady stavby'!H38</f>
        <v>0</v>
      </c>
      <c r="C14" s="28" t="str">
        <f>'Náklady stavby'!D65</f>
        <v>Geotechnický dozor stavby</v>
      </c>
      <c r="D14" s="29">
        <f>'Náklady stavby'!H65</f>
        <v>0</v>
      </c>
      <c r="H14" s="30"/>
      <c r="I14" s="30"/>
      <c r="J14" s="30"/>
      <c r="K14" s="30"/>
    </row>
    <row r="15" spans="1:11" ht="27.95" customHeight="1">
      <c r="A15" s="26" t="str">
        <f>'Náklady stavby'!D51</f>
        <v>Geotechnický monitoring</v>
      </c>
      <c r="B15" s="27">
        <f>'Náklady stavby'!H51</f>
        <v>0</v>
      </c>
      <c r="C15" s="28" t="str">
        <f>'Náklady stavby'!D66</f>
        <v>Vybavení staveniště, přenosné zdroje, zabezpečení staveniště, sociální zařízení, včetně jeho odstranění</v>
      </c>
      <c r="D15" s="29">
        <f>'Náklady stavby'!H66</f>
        <v>0</v>
      </c>
      <c r="H15" s="31"/>
      <c r="I15" s="30"/>
      <c r="J15" s="30"/>
      <c r="K15" s="30"/>
    </row>
    <row r="16" spans="1:11" ht="27.95" customHeight="1">
      <c r="A16" s="26" t="str">
        <f>'Náklady stavby'!D55</f>
        <v>Přesuny hmot</v>
      </c>
      <c r="B16" s="27">
        <f>'Náklady stavby'!H55</f>
        <v>0</v>
      </c>
      <c r="C16" s="28"/>
      <c r="D16" s="29"/>
      <c r="H16" s="31"/>
      <c r="I16" s="30"/>
      <c r="J16" s="30"/>
      <c r="K16" s="30"/>
    </row>
    <row r="17" spans="1:11" ht="27.95" customHeight="1">
      <c r="A17" s="26"/>
      <c r="B17" s="27"/>
      <c r="C17" s="28"/>
      <c r="D17" s="29"/>
      <c r="H17" s="31"/>
      <c r="I17" s="30"/>
      <c r="J17" s="30"/>
      <c r="K17" s="30"/>
    </row>
    <row r="18" spans="1:11" ht="27.95" customHeight="1" thickBot="1">
      <c r="A18" s="26"/>
      <c r="B18" s="27"/>
      <c r="C18" s="28"/>
      <c r="D18" s="29"/>
      <c r="H18" s="31"/>
      <c r="I18" s="30"/>
      <c r="J18" s="30"/>
      <c r="K18" s="30"/>
    </row>
    <row r="19" spans="1:11" ht="12" customHeight="1" thickBot="1">
      <c r="A19" s="32" t="s">
        <v>21</v>
      </c>
      <c r="B19" s="33">
        <f>SUM(B11:B18)</f>
        <v>0</v>
      </c>
      <c r="C19" s="32" t="s">
        <v>27</v>
      </c>
      <c r="D19" s="33">
        <f>SUM(D11:D18)</f>
        <v>0</v>
      </c>
      <c r="F19" s="34"/>
      <c r="H19" s="30"/>
      <c r="I19" s="30"/>
      <c r="J19" s="30"/>
      <c r="K19" s="30"/>
    </row>
    <row r="20" spans="1:4" ht="9.95" customHeight="1">
      <c r="A20" s="35"/>
      <c r="B20" s="36"/>
      <c r="C20" s="257"/>
      <c r="D20" s="258"/>
    </row>
    <row r="21" spans="1:4" ht="15" customHeight="1">
      <c r="A21" s="37" t="s">
        <v>4</v>
      </c>
      <c r="B21" s="38">
        <f>D19+B19</f>
        <v>0</v>
      </c>
      <c r="C21" s="257"/>
      <c r="D21" s="258"/>
    </row>
    <row r="22" spans="1:4" ht="15" customHeight="1">
      <c r="A22" s="39" t="s">
        <v>23</v>
      </c>
      <c r="B22" s="40">
        <f>0.21*B21</f>
        <v>0</v>
      </c>
      <c r="C22" s="257"/>
      <c r="D22" s="258"/>
    </row>
    <row r="23" spans="1:4" ht="9.95" customHeight="1" thickBot="1">
      <c r="A23" s="41"/>
      <c r="B23" s="42"/>
      <c r="C23" s="257"/>
      <c r="D23" s="258"/>
    </row>
    <row r="24" spans="1:4" ht="15" customHeight="1" thickBot="1">
      <c r="A24" s="19" t="s">
        <v>20</v>
      </c>
      <c r="B24" s="43">
        <f>B21+B22</f>
        <v>0</v>
      </c>
      <c r="C24" s="259"/>
      <c r="D24" s="260"/>
    </row>
    <row r="25" spans="1:4" ht="12" customHeight="1">
      <c r="A25" s="248" t="s">
        <v>5</v>
      </c>
      <c r="B25" s="261"/>
      <c r="C25" s="248" t="s">
        <v>28</v>
      </c>
      <c r="D25" s="249"/>
    </row>
    <row r="26" spans="1:4" ht="12" customHeight="1">
      <c r="A26" s="250" t="s">
        <v>2</v>
      </c>
      <c r="B26" s="262"/>
      <c r="C26" s="250" t="s">
        <v>2</v>
      </c>
      <c r="D26" s="251"/>
    </row>
    <row r="27" spans="1:4" ht="12" customHeight="1">
      <c r="A27" s="250" t="s">
        <v>0</v>
      </c>
      <c r="B27" s="262"/>
      <c r="C27" s="250" t="s">
        <v>0</v>
      </c>
      <c r="D27" s="252">
        <f ca="1">B7</f>
        <v>44911.55271655093</v>
      </c>
    </row>
    <row r="28" spans="1:4" ht="12" customHeight="1" thickBot="1">
      <c r="A28" s="253" t="s">
        <v>3</v>
      </c>
      <c r="B28" s="254"/>
      <c r="C28" s="253" t="s">
        <v>3</v>
      </c>
      <c r="D28" s="254"/>
    </row>
    <row r="29" spans="1:4" ht="12" customHeight="1">
      <c r="A29" s="44"/>
      <c r="B29" s="44"/>
      <c r="C29" s="44"/>
      <c r="D29" s="44"/>
    </row>
    <row r="30" ht="15" customHeight="1"/>
    <row r="31" s="45" customFormat="1" ht="22.5" customHeight="1"/>
    <row r="33" ht="12" customHeight="1"/>
    <row r="34" ht="16.5" customHeight="1"/>
    <row r="36" spans="1:4" ht="11.25" customHeight="1">
      <c r="A36" s="46"/>
      <c r="B36" s="47"/>
      <c r="C36" s="48"/>
      <c r="D36" s="48"/>
    </row>
    <row r="37" spans="1:4" ht="15" customHeight="1">
      <c r="A37" s="49"/>
      <c r="B37" s="50"/>
      <c r="C37" s="48"/>
      <c r="D37" s="48"/>
    </row>
    <row r="38" spans="1:4" ht="11.25" customHeight="1">
      <c r="A38" s="51"/>
      <c r="B38" s="51"/>
      <c r="C38" s="48"/>
      <c r="D38" s="48"/>
    </row>
    <row r="39" spans="1:4" ht="11.25" customHeight="1">
      <c r="A39" s="52"/>
      <c r="B39" s="51"/>
      <c r="C39" s="48"/>
      <c r="D39" s="48"/>
    </row>
    <row r="40" spans="1:4" ht="11.25" customHeight="1">
      <c r="A40" s="51"/>
      <c r="B40" s="51"/>
      <c r="C40" s="53"/>
      <c r="D40" s="53"/>
    </row>
    <row r="41" spans="1:4" ht="12.75" customHeight="1">
      <c r="A41" s="51"/>
      <c r="B41" s="51"/>
      <c r="C41" s="54"/>
      <c r="D41" s="54"/>
    </row>
    <row r="42" spans="1:4" ht="11.25" customHeight="1">
      <c r="A42" s="55"/>
      <c r="B42" s="55"/>
      <c r="C42" s="55"/>
      <c r="D42" s="55"/>
    </row>
    <row r="43" spans="1:4" ht="11.25" customHeight="1">
      <c r="A43" s="55"/>
      <c r="B43" s="55"/>
      <c r="C43" s="55"/>
      <c r="D43" s="55"/>
    </row>
  </sheetData>
  <sheetProtection password="CBD3" sheet="1" objects="1" scenarios="1" selectLockedCells="1"/>
  <mergeCells count="10">
    <mergeCell ref="B2:D2"/>
    <mergeCell ref="C41:D41"/>
    <mergeCell ref="C40:D40"/>
    <mergeCell ref="B6:D6"/>
    <mergeCell ref="B3:D3"/>
    <mergeCell ref="B4:D4"/>
    <mergeCell ref="A10:B10"/>
    <mergeCell ref="C10:D10"/>
    <mergeCell ref="C20:D24"/>
    <mergeCell ref="B5:D5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6"/>
  <sheetViews>
    <sheetView zoomScaleSheetLayoutView="80" workbookViewId="0" topLeftCell="A1">
      <selection activeCell="G10" sqref="G10"/>
    </sheetView>
  </sheetViews>
  <sheetFormatPr defaultColWidth="9.140625" defaultRowHeight="12.75" customHeight="1"/>
  <cols>
    <col min="1" max="1" width="3.140625" style="57" customWidth="1"/>
    <col min="2" max="2" width="3.140625" style="56" customWidth="1"/>
    <col min="3" max="3" width="11.7109375" style="56" customWidth="1"/>
    <col min="4" max="4" width="85.7109375" style="57" customWidth="1"/>
    <col min="5" max="5" width="6.7109375" style="56" customWidth="1"/>
    <col min="6" max="6" width="8.7109375" style="58" customWidth="1"/>
    <col min="7" max="7" width="10.7109375" style="58" customWidth="1"/>
    <col min="8" max="8" width="12.8515625" style="58" customWidth="1"/>
    <col min="9" max="9" width="10.7109375" style="57" customWidth="1"/>
    <col min="10" max="10" width="9.140625" style="57" customWidth="1"/>
    <col min="11" max="11" width="10.7109375" style="59" customWidth="1"/>
    <col min="12" max="12" width="9.421875" style="59" bestFit="1" customWidth="1"/>
    <col min="13" max="13" width="9.140625" style="57" customWidth="1"/>
    <col min="14" max="14" width="12.28125" style="57" bestFit="1" customWidth="1"/>
    <col min="15" max="16384" width="9.140625" style="57" customWidth="1"/>
  </cols>
  <sheetData>
    <row r="1" ht="2.1" customHeight="1" thickBot="1"/>
    <row r="2" spans="2:9" ht="30" customHeight="1" thickBot="1">
      <c r="B2" s="60"/>
      <c r="C2" s="61"/>
      <c r="D2" s="62" t="s">
        <v>71</v>
      </c>
      <c r="E2" s="61"/>
      <c r="F2" s="61"/>
      <c r="G2" s="61"/>
      <c r="H2" s="61"/>
      <c r="I2" s="63"/>
    </row>
    <row r="3" spans="2:9" ht="15" customHeight="1">
      <c r="B3" s="64" t="s">
        <v>25</v>
      </c>
      <c r="C3" s="65"/>
      <c r="D3" s="66" t="s">
        <v>72</v>
      </c>
      <c r="E3" s="67"/>
      <c r="F3" s="67"/>
      <c r="G3" s="67"/>
      <c r="H3" s="67"/>
      <c r="I3" s="68"/>
    </row>
    <row r="4" spans="2:9" ht="15" customHeight="1" thickBot="1">
      <c r="B4" s="69" t="s">
        <v>5</v>
      </c>
      <c r="C4" s="70"/>
      <c r="D4" s="71" t="s">
        <v>116</v>
      </c>
      <c r="E4" s="72"/>
      <c r="F4" s="73"/>
      <c r="G4" s="73"/>
      <c r="H4" s="74"/>
      <c r="I4" s="75"/>
    </row>
    <row r="5" spans="2:9" ht="30" customHeight="1" thickBot="1">
      <c r="B5" s="76" t="s">
        <v>26</v>
      </c>
      <c r="C5" s="77" t="s">
        <v>6</v>
      </c>
      <c r="D5" s="77" t="s">
        <v>7</v>
      </c>
      <c r="E5" s="77" t="s">
        <v>8</v>
      </c>
      <c r="F5" s="78" t="s">
        <v>9</v>
      </c>
      <c r="G5" s="78" t="s">
        <v>14</v>
      </c>
      <c r="H5" s="78" t="s">
        <v>10</v>
      </c>
      <c r="I5" s="79" t="s">
        <v>51</v>
      </c>
    </row>
    <row r="6" spans="2:9" ht="12.95" customHeight="1" thickBot="1">
      <c r="B6" s="80"/>
      <c r="C6" s="81"/>
      <c r="D6" s="82" t="s">
        <v>64</v>
      </c>
      <c r="E6" s="83"/>
      <c r="F6" s="83"/>
      <c r="G6" s="83"/>
      <c r="H6" s="84">
        <f>SUM(H7:H12)</f>
        <v>0</v>
      </c>
      <c r="I6" s="85"/>
    </row>
    <row r="7" spans="2:12" s="93" customFormat="1" ht="12.95" customHeight="1">
      <c r="B7" s="86">
        <v>1</v>
      </c>
      <c r="C7" s="87" t="s">
        <v>52</v>
      </c>
      <c r="D7" s="88" t="s">
        <v>53</v>
      </c>
      <c r="E7" s="89" t="s">
        <v>12</v>
      </c>
      <c r="F7" s="90">
        <f>352</f>
        <v>352</v>
      </c>
      <c r="G7" s="232"/>
      <c r="H7" s="91">
        <f aca="true" t="shared" si="0" ref="H7:H27">F7*G7</f>
        <v>0</v>
      </c>
      <c r="I7" s="92" t="s">
        <v>147</v>
      </c>
      <c r="K7" s="94"/>
      <c r="L7" s="95"/>
    </row>
    <row r="8" spans="2:12" s="93" customFormat="1" ht="12.95" customHeight="1">
      <c r="B8" s="86">
        <v>2</v>
      </c>
      <c r="C8" s="96" t="s">
        <v>54</v>
      </c>
      <c r="D8" s="97" t="s">
        <v>55</v>
      </c>
      <c r="E8" s="89" t="s">
        <v>12</v>
      </c>
      <c r="F8" s="90">
        <f>F7*(31+30)</f>
        <v>21472</v>
      </c>
      <c r="G8" s="232"/>
      <c r="H8" s="91">
        <f t="shared" si="0"/>
        <v>0</v>
      </c>
      <c r="I8" s="92" t="s">
        <v>147</v>
      </c>
      <c r="K8" s="94"/>
      <c r="L8" s="95"/>
    </row>
    <row r="9" spans="2:12" s="93" customFormat="1" ht="12.95" customHeight="1">
      <c r="B9" s="86">
        <v>3</v>
      </c>
      <c r="C9" s="96" t="s">
        <v>56</v>
      </c>
      <c r="D9" s="97" t="s">
        <v>57</v>
      </c>
      <c r="E9" s="98" t="s">
        <v>12</v>
      </c>
      <c r="F9" s="99">
        <f>F7</f>
        <v>352</v>
      </c>
      <c r="G9" s="232"/>
      <c r="H9" s="91">
        <f t="shared" si="0"/>
        <v>0</v>
      </c>
      <c r="I9" s="92" t="s">
        <v>147</v>
      </c>
      <c r="K9" s="94"/>
      <c r="L9" s="95"/>
    </row>
    <row r="10" spans="2:12" s="93" customFormat="1" ht="12.95" customHeight="1">
      <c r="B10" s="86">
        <v>4</v>
      </c>
      <c r="C10" s="87" t="s">
        <v>37</v>
      </c>
      <c r="D10" s="100" t="s">
        <v>58</v>
      </c>
      <c r="E10" s="89" t="s">
        <v>32</v>
      </c>
      <c r="F10" s="99">
        <f>F7*4</f>
        <v>1408</v>
      </c>
      <c r="G10" s="232"/>
      <c r="H10" s="101">
        <f t="shared" si="0"/>
        <v>0</v>
      </c>
      <c r="I10" s="92" t="s">
        <v>147</v>
      </c>
      <c r="K10" s="94"/>
      <c r="L10" s="95"/>
    </row>
    <row r="11" spans="2:12" s="93" customFormat="1" ht="12.95" customHeight="1">
      <c r="B11" s="86">
        <v>5</v>
      </c>
      <c r="C11" s="96" t="s">
        <v>38</v>
      </c>
      <c r="D11" s="97" t="s">
        <v>59</v>
      </c>
      <c r="E11" s="98" t="s">
        <v>32</v>
      </c>
      <c r="F11" s="102">
        <f>F10*(31+30)</f>
        <v>85888</v>
      </c>
      <c r="G11" s="232"/>
      <c r="H11" s="103">
        <f t="shared" si="0"/>
        <v>0</v>
      </c>
      <c r="I11" s="92" t="s">
        <v>147</v>
      </c>
      <c r="K11" s="94"/>
      <c r="L11" s="95"/>
    </row>
    <row r="12" spans="2:12" s="93" customFormat="1" ht="12.95" customHeight="1" thickBot="1">
      <c r="B12" s="86">
        <v>6</v>
      </c>
      <c r="C12" s="104" t="s">
        <v>39</v>
      </c>
      <c r="D12" s="105" t="s">
        <v>40</v>
      </c>
      <c r="E12" s="106" t="s">
        <v>32</v>
      </c>
      <c r="F12" s="107">
        <f>F10</f>
        <v>1408</v>
      </c>
      <c r="G12" s="233"/>
      <c r="H12" s="108">
        <f t="shared" si="0"/>
        <v>0</v>
      </c>
      <c r="I12" s="92" t="s">
        <v>147</v>
      </c>
      <c r="K12" s="94"/>
      <c r="L12" s="95"/>
    </row>
    <row r="13" spans="2:12" s="93" customFormat="1" ht="12.95" customHeight="1" thickBot="1">
      <c r="B13" s="80"/>
      <c r="C13" s="81"/>
      <c r="D13" s="82" t="s">
        <v>65</v>
      </c>
      <c r="E13" s="83"/>
      <c r="F13" s="83"/>
      <c r="G13" s="83"/>
      <c r="H13" s="84">
        <f>SUM(H14:H27)</f>
        <v>0</v>
      </c>
      <c r="I13" s="85"/>
      <c r="K13" s="94"/>
      <c r="L13" s="95"/>
    </row>
    <row r="14" spans="2:12" s="93" customFormat="1" ht="12.95" customHeight="1">
      <c r="B14" s="86">
        <v>7</v>
      </c>
      <c r="C14" s="87" t="s">
        <v>85</v>
      </c>
      <c r="D14" s="88" t="s">
        <v>79</v>
      </c>
      <c r="E14" s="98" t="s">
        <v>11</v>
      </c>
      <c r="F14" s="109">
        <f>6</f>
        <v>6</v>
      </c>
      <c r="G14" s="232"/>
      <c r="H14" s="110">
        <f aca="true" t="shared" si="1" ref="H14:H21">F14*G14</f>
        <v>0</v>
      </c>
      <c r="I14" s="92" t="s">
        <v>147</v>
      </c>
      <c r="J14" s="111"/>
      <c r="K14" s="94"/>
      <c r="L14" s="95"/>
    </row>
    <row r="15" spans="2:12" s="93" customFormat="1" ht="12.95" customHeight="1">
      <c r="B15" s="86">
        <v>8</v>
      </c>
      <c r="C15" s="96" t="s">
        <v>83</v>
      </c>
      <c r="D15" s="112" t="s">
        <v>80</v>
      </c>
      <c r="E15" s="98" t="s">
        <v>11</v>
      </c>
      <c r="F15" s="109">
        <f>CEILING(F14*1,1)</f>
        <v>6</v>
      </c>
      <c r="G15" s="232"/>
      <c r="H15" s="110">
        <f t="shared" si="1"/>
        <v>0</v>
      </c>
      <c r="I15" s="92" t="s">
        <v>147</v>
      </c>
      <c r="K15" s="94"/>
      <c r="L15" s="95"/>
    </row>
    <row r="16" spans="2:12" s="93" customFormat="1" ht="12.95" customHeight="1">
      <c r="B16" s="86">
        <v>9</v>
      </c>
      <c r="C16" s="87" t="s">
        <v>75</v>
      </c>
      <c r="D16" s="88" t="s">
        <v>76</v>
      </c>
      <c r="E16" s="113" t="s">
        <v>11</v>
      </c>
      <c r="F16" s="109">
        <f>10</f>
        <v>10</v>
      </c>
      <c r="G16" s="232"/>
      <c r="H16" s="110">
        <f t="shared" si="1"/>
        <v>0</v>
      </c>
      <c r="I16" s="92" t="s">
        <v>147</v>
      </c>
      <c r="K16" s="94"/>
      <c r="L16" s="95"/>
    </row>
    <row r="17" spans="2:12" s="93" customFormat="1" ht="12.95" customHeight="1">
      <c r="B17" s="86">
        <v>10</v>
      </c>
      <c r="C17" s="96" t="s">
        <v>77</v>
      </c>
      <c r="D17" s="112" t="s">
        <v>78</v>
      </c>
      <c r="E17" s="114" t="s">
        <v>11</v>
      </c>
      <c r="F17" s="109">
        <f>CEILING(F16*1,1)</f>
        <v>10</v>
      </c>
      <c r="G17" s="232"/>
      <c r="H17" s="110">
        <f t="shared" si="1"/>
        <v>0</v>
      </c>
      <c r="I17" s="92" t="s">
        <v>147</v>
      </c>
      <c r="K17" s="94"/>
      <c r="L17" s="95"/>
    </row>
    <row r="18" spans="2:12" s="93" customFormat="1" ht="12.95" customHeight="1">
      <c r="B18" s="86">
        <v>11</v>
      </c>
      <c r="C18" s="87" t="s">
        <v>86</v>
      </c>
      <c r="D18" s="88" t="s">
        <v>81</v>
      </c>
      <c r="E18" s="113" t="s">
        <v>11</v>
      </c>
      <c r="F18" s="109">
        <f>2</f>
        <v>2</v>
      </c>
      <c r="G18" s="232"/>
      <c r="H18" s="110">
        <f t="shared" si="1"/>
        <v>0</v>
      </c>
      <c r="I18" s="92" t="s">
        <v>147</v>
      </c>
      <c r="K18" s="94"/>
      <c r="L18" s="95"/>
    </row>
    <row r="19" spans="2:12" s="93" customFormat="1" ht="12.95" customHeight="1">
      <c r="B19" s="86">
        <v>12</v>
      </c>
      <c r="C19" s="96" t="s">
        <v>84</v>
      </c>
      <c r="D19" s="112" t="s">
        <v>82</v>
      </c>
      <c r="E19" s="114" t="s">
        <v>11</v>
      </c>
      <c r="F19" s="109">
        <f>CEILING(F18*1,1)</f>
        <v>2</v>
      </c>
      <c r="G19" s="232"/>
      <c r="H19" s="110">
        <f t="shared" si="1"/>
        <v>0</v>
      </c>
      <c r="I19" s="92" t="s">
        <v>147</v>
      </c>
      <c r="K19" s="94"/>
      <c r="L19" s="95"/>
    </row>
    <row r="20" spans="2:12" s="93" customFormat="1" ht="12.95" customHeight="1">
      <c r="B20" s="86">
        <v>13</v>
      </c>
      <c r="C20" s="87" t="s">
        <v>89</v>
      </c>
      <c r="D20" s="88" t="s">
        <v>87</v>
      </c>
      <c r="E20" s="113" t="s">
        <v>11</v>
      </c>
      <c r="F20" s="109">
        <f>1</f>
        <v>1</v>
      </c>
      <c r="G20" s="232"/>
      <c r="H20" s="110">
        <f t="shared" si="1"/>
        <v>0</v>
      </c>
      <c r="I20" s="92" t="s">
        <v>147</v>
      </c>
      <c r="K20" s="94"/>
      <c r="L20" s="95"/>
    </row>
    <row r="21" spans="2:12" s="93" customFormat="1" ht="12.95" customHeight="1">
      <c r="B21" s="86">
        <v>14</v>
      </c>
      <c r="C21" s="96" t="s">
        <v>90</v>
      </c>
      <c r="D21" s="112" t="s">
        <v>88</v>
      </c>
      <c r="E21" s="114" t="s">
        <v>11</v>
      </c>
      <c r="F21" s="109">
        <f>CEILING(F20*1,1)</f>
        <v>1</v>
      </c>
      <c r="G21" s="232"/>
      <c r="H21" s="110">
        <f t="shared" si="1"/>
        <v>0</v>
      </c>
      <c r="I21" s="92" t="s">
        <v>147</v>
      </c>
      <c r="K21" s="94"/>
      <c r="L21" s="95"/>
    </row>
    <row r="22" spans="2:12" s="93" customFormat="1" ht="26.1" customHeight="1">
      <c r="B22" s="86">
        <v>15</v>
      </c>
      <c r="C22" s="96" t="s">
        <v>31</v>
      </c>
      <c r="D22" s="97" t="s">
        <v>68</v>
      </c>
      <c r="E22" s="98" t="s">
        <v>32</v>
      </c>
      <c r="F22" s="109">
        <f>CEILING((520.3+86.2+745.6)*1.41*1.2*0.51,1)</f>
        <v>1167</v>
      </c>
      <c r="G22" s="232"/>
      <c r="H22" s="110">
        <f t="shared" si="0"/>
        <v>0</v>
      </c>
      <c r="I22" s="92" t="s">
        <v>147</v>
      </c>
      <c r="K22" s="94"/>
      <c r="L22" s="95"/>
    </row>
    <row r="23" spans="2:12" s="93" customFormat="1" ht="26.1" customHeight="1">
      <c r="B23" s="86">
        <v>16</v>
      </c>
      <c r="C23" s="96" t="s">
        <v>142</v>
      </c>
      <c r="D23" s="97" t="s">
        <v>133</v>
      </c>
      <c r="E23" s="89" t="s">
        <v>34</v>
      </c>
      <c r="F23" s="115">
        <f>CEILING((F22*7.5)/750,0.1)</f>
        <v>11.700000000000001</v>
      </c>
      <c r="G23" s="234"/>
      <c r="H23" s="116">
        <f t="shared" si="0"/>
        <v>0</v>
      </c>
      <c r="I23" s="92" t="s">
        <v>29</v>
      </c>
      <c r="K23" s="94"/>
      <c r="L23" s="95"/>
    </row>
    <row r="24" spans="2:12" s="93" customFormat="1" ht="12.95" customHeight="1">
      <c r="B24" s="86">
        <v>17</v>
      </c>
      <c r="C24" s="98" t="s">
        <v>33</v>
      </c>
      <c r="D24" s="117" t="s">
        <v>69</v>
      </c>
      <c r="E24" s="89" t="s">
        <v>34</v>
      </c>
      <c r="F24" s="99">
        <f>CEILING(((2.6+39.2+61.6+16.6+11.2+60.8+21.7+27.9+2.3+32.1)*5.76*1.2*0.7)*0.11,0.5)</f>
        <v>147</v>
      </c>
      <c r="G24" s="232"/>
      <c r="H24" s="103">
        <f t="shared" si="0"/>
        <v>0</v>
      </c>
      <c r="I24" s="92" t="s">
        <v>147</v>
      </c>
      <c r="K24" s="94"/>
      <c r="L24" s="95"/>
    </row>
    <row r="25" spans="2:12" s="93" customFormat="1" ht="26.1" customHeight="1">
      <c r="B25" s="86">
        <v>18</v>
      </c>
      <c r="C25" s="98" t="s">
        <v>35</v>
      </c>
      <c r="D25" s="118" t="s">
        <v>36</v>
      </c>
      <c r="E25" s="98" t="s">
        <v>34</v>
      </c>
      <c r="F25" s="102">
        <f>1+1+2.6+0.5+3.5+25+7.5+3+2.5+1.5+6.5+10+4.7+5.5+1.5+8.3</f>
        <v>84.6</v>
      </c>
      <c r="G25" s="232"/>
      <c r="H25" s="103">
        <f t="shared" si="0"/>
        <v>0</v>
      </c>
      <c r="I25" s="92" t="s">
        <v>147</v>
      </c>
      <c r="J25" s="119"/>
      <c r="K25" s="94"/>
      <c r="L25" s="95"/>
    </row>
    <row r="26" spans="2:12" s="93" customFormat="1" ht="26.1" customHeight="1">
      <c r="B26" s="86">
        <v>19</v>
      </c>
      <c r="C26" s="96" t="s">
        <v>143</v>
      </c>
      <c r="D26" s="97" t="s">
        <v>63</v>
      </c>
      <c r="E26" s="98" t="s">
        <v>34</v>
      </c>
      <c r="F26" s="99">
        <f>CEILING(((115.5+84.8)*1*0.5)+(71.8*0.4*0.5),0.5)</f>
        <v>115</v>
      </c>
      <c r="G26" s="232"/>
      <c r="H26" s="101">
        <f t="shared" si="0"/>
        <v>0</v>
      </c>
      <c r="I26" s="92" t="s">
        <v>29</v>
      </c>
      <c r="K26" s="120"/>
      <c r="L26" s="121"/>
    </row>
    <row r="27" spans="2:12" s="93" customFormat="1" ht="12.95" customHeight="1" thickBot="1">
      <c r="B27" s="86">
        <v>20</v>
      </c>
      <c r="C27" s="104" t="s">
        <v>44</v>
      </c>
      <c r="D27" s="105" t="s">
        <v>137</v>
      </c>
      <c r="E27" s="106" t="s">
        <v>11</v>
      </c>
      <c r="F27" s="107">
        <f>CEILING((105/15)+1+2,1)</f>
        <v>10</v>
      </c>
      <c r="G27" s="235"/>
      <c r="H27" s="101">
        <f t="shared" si="0"/>
        <v>0</v>
      </c>
      <c r="I27" s="92" t="s">
        <v>29</v>
      </c>
      <c r="K27" s="120"/>
      <c r="L27" s="121"/>
    </row>
    <row r="28" spans="2:12" s="93" customFormat="1" ht="12.95" customHeight="1" thickBot="1">
      <c r="B28" s="122"/>
      <c r="C28" s="123"/>
      <c r="D28" s="124" t="s">
        <v>66</v>
      </c>
      <c r="E28" s="125"/>
      <c r="F28" s="125"/>
      <c r="G28" s="125"/>
      <c r="H28" s="126">
        <f>SUM(H29:H37)</f>
        <v>0</v>
      </c>
      <c r="I28" s="127"/>
      <c r="K28" s="120"/>
      <c r="L28" s="121"/>
    </row>
    <row r="29" spans="2:12" s="93" customFormat="1" ht="26.1" customHeight="1">
      <c r="B29" s="128">
        <v>21</v>
      </c>
      <c r="C29" s="129" t="s">
        <v>128</v>
      </c>
      <c r="D29" s="130" t="s">
        <v>129</v>
      </c>
      <c r="E29" s="131" t="s">
        <v>12</v>
      </c>
      <c r="F29" s="132">
        <f>CEILING((F33*2),1)</f>
        <v>102</v>
      </c>
      <c r="G29" s="236"/>
      <c r="H29" s="133">
        <f aca="true" t="shared" si="2" ref="H29">F29*G29</f>
        <v>0</v>
      </c>
      <c r="I29" s="134" t="s">
        <v>147</v>
      </c>
      <c r="J29" s="135"/>
      <c r="K29" s="94"/>
      <c r="L29" s="95"/>
    </row>
    <row r="30" spans="2:12" s="93" customFormat="1" ht="26.1" customHeight="1">
      <c r="B30" s="136">
        <v>22</v>
      </c>
      <c r="C30" s="96" t="s">
        <v>130</v>
      </c>
      <c r="D30" s="137" t="s">
        <v>131</v>
      </c>
      <c r="E30" s="138" t="s">
        <v>12</v>
      </c>
      <c r="F30" s="139">
        <f>CEILING((F33*3.5),1)</f>
        <v>179</v>
      </c>
      <c r="G30" s="232"/>
      <c r="H30" s="91">
        <f aca="true" t="shared" si="3" ref="H30">F30*G30</f>
        <v>0</v>
      </c>
      <c r="I30" s="140" t="s">
        <v>147</v>
      </c>
      <c r="J30" s="135"/>
      <c r="K30" s="94"/>
      <c r="L30" s="95"/>
    </row>
    <row r="31" spans="2:12" s="93" customFormat="1" ht="12.95" customHeight="1">
      <c r="B31" s="136">
        <v>23</v>
      </c>
      <c r="C31" s="98" t="s">
        <v>121</v>
      </c>
      <c r="D31" s="141" t="s">
        <v>126</v>
      </c>
      <c r="E31" s="142" t="s">
        <v>12</v>
      </c>
      <c r="F31" s="90">
        <f>CEILING(F33*5.5,1)</f>
        <v>281</v>
      </c>
      <c r="G31" s="237"/>
      <c r="H31" s="91">
        <f aca="true" t="shared" si="4" ref="H31">F31*G31</f>
        <v>0</v>
      </c>
      <c r="I31" s="140" t="s">
        <v>147</v>
      </c>
      <c r="J31" s="135"/>
      <c r="K31" s="94"/>
      <c r="L31" s="95"/>
    </row>
    <row r="32" spans="2:12" s="93" customFormat="1" ht="12.95" customHeight="1">
      <c r="B32" s="136">
        <v>24</v>
      </c>
      <c r="C32" s="98" t="s">
        <v>122</v>
      </c>
      <c r="D32" s="141" t="s">
        <v>123</v>
      </c>
      <c r="E32" s="142" t="s">
        <v>12</v>
      </c>
      <c r="F32" s="90">
        <f>F33*0.15</f>
        <v>7.6499999999999995</v>
      </c>
      <c r="G32" s="237"/>
      <c r="H32" s="91">
        <f aca="true" t="shared" si="5" ref="H32">F32*G32</f>
        <v>0</v>
      </c>
      <c r="I32" s="140" t="s">
        <v>147</v>
      </c>
      <c r="J32" s="135"/>
      <c r="K32" s="94"/>
      <c r="L32" s="95"/>
    </row>
    <row r="33" spans="2:12" s="93" customFormat="1" ht="12.95" customHeight="1">
      <c r="B33" s="136">
        <v>25</v>
      </c>
      <c r="C33" s="143" t="s">
        <v>124</v>
      </c>
      <c r="D33" s="144" t="s">
        <v>125</v>
      </c>
      <c r="E33" s="145" t="s">
        <v>11</v>
      </c>
      <c r="F33" s="90">
        <f>51</f>
        <v>51</v>
      </c>
      <c r="G33" s="237"/>
      <c r="H33" s="91">
        <f aca="true" t="shared" si="6" ref="H33:H34">F33*G33</f>
        <v>0</v>
      </c>
      <c r="I33" s="140" t="s">
        <v>147</v>
      </c>
      <c r="J33" s="135"/>
      <c r="K33" s="94"/>
      <c r="L33" s="95"/>
    </row>
    <row r="34" spans="2:12" s="93" customFormat="1" ht="12.95" customHeight="1">
      <c r="B34" s="136">
        <v>26</v>
      </c>
      <c r="C34" s="89" t="s">
        <v>60</v>
      </c>
      <c r="D34" s="146" t="s">
        <v>67</v>
      </c>
      <c r="E34" s="89" t="s">
        <v>32</v>
      </c>
      <c r="F34" s="99">
        <f>CEILING((F33*(0.079522*1.3)*5.5)+(F33*0.216),1)</f>
        <v>41</v>
      </c>
      <c r="G34" s="232"/>
      <c r="H34" s="147">
        <f t="shared" si="6"/>
        <v>0</v>
      </c>
      <c r="I34" s="140" t="s">
        <v>147</v>
      </c>
      <c r="J34" s="135"/>
      <c r="K34" s="94"/>
      <c r="L34" s="95"/>
    </row>
    <row r="35" spans="2:12" s="93" customFormat="1" ht="12.95" customHeight="1">
      <c r="B35" s="136">
        <v>27</v>
      </c>
      <c r="C35" s="148" t="s">
        <v>127</v>
      </c>
      <c r="D35" s="149" t="s">
        <v>107</v>
      </c>
      <c r="E35" s="142" t="s">
        <v>13</v>
      </c>
      <c r="F35" s="90">
        <f>CEILING((F29*0.15)+(F30*0.25),0.1)</f>
        <v>60.1</v>
      </c>
      <c r="G35" s="232"/>
      <c r="H35" s="147">
        <f aca="true" t="shared" si="7" ref="H35:H36">F35*G35</f>
        <v>0</v>
      </c>
      <c r="I35" s="140" t="s">
        <v>147</v>
      </c>
      <c r="J35" s="150"/>
      <c r="K35" s="94"/>
      <c r="L35" s="95"/>
    </row>
    <row r="36" spans="2:12" s="93" customFormat="1" ht="12.95" customHeight="1">
      <c r="B36" s="136">
        <v>28</v>
      </c>
      <c r="C36" s="151" t="s">
        <v>44</v>
      </c>
      <c r="D36" s="152" t="s">
        <v>132</v>
      </c>
      <c r="E36" s="153" t="s">
        <v>12</v>
      </c>
      <c r="F36" s="154">
        <f>F33*1</f>
        <v>51</v>
      </c>
      <c r="G36" s="232"/>
      <c r="H36" s="147">
        <f t="shared" si="7"/>
        <v>0</v>
      </c>
      <c r="I36" s="140" t="s">
        <v>29</v>
      </c>
      <c r="J36" s="150"/>
      <c r="K36" s="94"/>
      <c r="L36" s="95"/>
    </row>
    <row r="37" spans="2:12" s="93" customFormat="1" ht="12.95" customHeight="1" thickBot="1">
      <c r="B37" s="155">
        <v>29</v>
      </c>
      <c r="C37" s="106" t="s">
        <v>117</v>
      </c>
      <c r="D37" s="156" t="s">
        <v>118</v>
      </c>
      <c r="E37" s="106" t="s">
        <v>11</v>
      </c>
      <c r="F37" s="157">
        <f>2</f>
        <v>2</v>
      </c>
      <c r="G37" s="233"/>
      <c r="H37" s="158">
        <f aca="true" t="shared" si="8" ref="H37">F37*G37</f>
        <v>0</v>
      </c>
      <c r="I37" s="159" t="s">
        <v>147</v>
      </c>
      <c r="J37" s="135"/>
      <c r="K37" s="94"/>
      <c r="L37" s="95"/>
    </row>
    <row r="38" spans="2:12" s="93" customFormat="1" ht="12.95" customHeight="1" thickBot="1">
      <c r="B38" s="160"/>
      <c r="C38" s="161"/>
      <c r="D38" s="162" t="s">
        <v>73</v>
      </c>
      <c r="E38" s="161"/>
      <c r="F38" s="161"/>
      <c r="G38" s="163"/>
      <c r="H38" s="164">
        <f>SUM(H39:H50)</f>
        <v>0</v>
      </c>
      <c r="I38" s="165"/>
      <c r="K38" s="59"/>
      <c r="L38" s="95"/>
    </row>
    <row r="39" spans="2:12" s="93" customFormat="1" ht="26.1" customHeight="1">
      <c r="B39" s="128">
        <v>30</v>
      </c>
      <c r="C39" s="166" t="s">
        <v>144</v>
      </c>
      <c r="D39" s="167" t="s">
        <v>95</v>
      </c>
      <c r="E39" s="129" t="s">
        <v>34</v>
      </c>
      <c r="F39" s="168">
        <f>CEILING((2.5*0.8*0.5),0.1)</f>
        <v>1</v>
      </c>
      <c r="G39" s="238"/>
      <c r="H39" s="169">
        <f aca="true" t="shared" si="9" ref="H39:H41">F39*G39</f>
        <v>0</v>
      </c>
      <c r="I39" s="134" t="s">
        <v>29</v>
      </c>
      <c r="J39" s="135"/>
      <c r="K39" s="94"/>
      <c r="L39" s="95"/>
    </row>
    <row r="40" spans="2:12" s="93" customFormat="1" ht="12.95" customHeight="1">
      <c r="B40" s="136">
        <v>31</v>
      </c>
      <c r="C40" s="87" t="s">
        <v>145</v>
      </c>
      <c r="D40" s="100" t="s">
        <v>96</v>
      </c>
      <c r="E40" s="98" t="s">
        <v>34</v>
      </c>
      <c r="F40" s="90">
        <f>F39</f>
        <v>1</v>
      </c>
      <c r="G40" s="239"/>
      <c r="H40" s="170">
        <f t="shared" si="9"/>
        <v>0</v>
      </c>
      <c r="I40" s="140" t="s">
        <v>29</v>
      </c>
      <c r="J40" s="135"/>
      <c r="K40" s="94"/>
      <c r="L40" s="95"/>
    </row>
    <row r="41" spans="2:12" s="93" customFormat="1" ht="12.95" customHeight="1">
      <c r="B41" s="136">
        <v>32</v>
      </c>
      <c r="C41" s="96" t="s">
        <v>119</v>
      </c>
      <c r="D41" s="97" t="s">
        <v>120</v>
      </c>
      <c r="E41" s="98" t="s">
        <v>34</v>
      </c>
      <c r="F41" s="99">
        <f>F39</f>
        <v>1</v>
      </c>
      <c r="G41" s="234"/>
      <c r="H41" s="101">
        <f t="shared" si="9"/>
        <v>0</v>
      </c>
      <c r="I41" s="140" t="s">
        <v>147</v>
      </c>
      <c r="J41" s="135"/>
      <c r="K41" s="94"/>
      <c r="L41" s="95"/>
    </row>
    <row r="42" spans="2:12" s="175" customFormat="1" ht="26.1" customHeight="1">
      <c r="B42" s="136">
        <v>33</v>
      </c>
      <c r="C42" s="171" t="s">
        <v>113</v>
      </c>
      <c r="D42" s="172" t="s">
        <v>112</v>
      </c>
      <c r="E42" s="173" t="s">
        <v>34</v>
      </c>
      <c r="F42" s="154">
        <f>CEILING((2.5*3*0.5)*1.2,0.1)</f>
        <v>4.5</v>
      </c>
      <c r="G42" s="234"/>
      <c r="H42" s="174">
        <f aca="true" t="shared" si="10" ref="H42">F42*G42</f>
        <v>0</v>
      </c>
      <c r="I42" s="140" t="s">
        <v>147</v>
      </c>
      <c r="K42" s="94"/>
      <c r="L42" s="95"/>
    </row>
    <row r="43" spans="2:12" s="93" customFormat="1" ht="26.1" customHeight="1">
      <c r="B43" s="136">
        <v>34</v>
      </c>
      <c r="C43" s="176" t="s">
        <v>114</v>
      </c>
      <c r="D43" s="177" t="s">
        <v>115</v>
      </c>
      <c r="E43" s="178" t="s">
        <v>34</v>
      </c>
      <c r="F43" s="102">
        <f>F42</f>
        <v>4.5</v>
      </c>
      <c r="G43" s="234"/>
      <c r="H43" s="174">
        <f aca="true" t="shared" si="11" ref="H43:H46">F43*G43</f>
        <v>0</v>
      </c>
      <c r="I43" s="140" t="s">
        <v>147</v>
      </c>
      <c r="J43" s="179"/>
      <c r="K43" s="94"/>
      <c r="L43" s="95"/>
    </row>
    <row r="44" spans="2:12" s="93" customFormat="1" ht="12.95" customHeight="1">
      <c r="B44" s="136">
        <v>35</v>
      </c>
      <c r="C44" s="98" t="s">
        <v>97</v>
      </c>
      <c r="D44" s="118" t="s">
        <v>98</v>
      </c>
      <c r="E44" s="178" t="s">
        <v>34</v>
      </c>
      <c r="F44" s="99">
        <f>CEILING((2.5*3*0.3)*1.3,1)</f>
        <v>3</v>
      </c>
      <c r="G44" s="234"/>
      <c r="H44" s="180">
        <f t="shared" si="11"/>
        <v>0</v>
      </c>
      <c r="I44" s="140" t="s">
        <v>147</v>
      </c>
      <c r="J44" s="179"/>
      <c r="K44" s="94"/>
      <c r="L44" s="95"/>
    </row>
    <row r="45" spans="2:12" s="93" customFormat="1" ht="26.1" customHeight="1">
      <c r="B45" s="136">
        <v>36</v>
      </c>
      <c r="C45" s="181" t="s">
        <v>99</v>
      </c>
      <c r="D45" s="112" t="s">
        <v>100</v>
      </c>
      <c r="E45" s="181" t="s">
        <v>12</v>
      </c>
      <c r="F45" s="99">
        <f>CEILING(((F46*3)+(F47*0.2)),1)</f>
        <v>22</v>
      </c>
      <c r="G45" s="239"/>
      <c r="H45" s="170">
        <f t="shared" si="11"/>
        <v>0</v>
      </c>
      <c r="I45" s="140" t="s">
        <v>147</v>
      </c>
      <c r="J45" s="150"/>
      <c r="K45" s="94"/>
      <c r="L45" s="95"/>
    </row>
    <row r="46" spans="2:12" s="93" customFormat="1" ht="26.1" customHeight="1">
      <c r="B46" s="136">
        <v>37</v>
      </c>
      <c r="C46" s="148" t="s">
        <v>105</v>
      </c>
      <c r="D46" s="149" t="s">
        <v>106</v>
      </c>
      <c r="E46" s="145" t="s">
        <v>11</v>
      </c>
      <c r="F46" s="182">
        <f>3*2</f>
        <v>6</v>
      </c>
      <c r="G46" s="234"/>
      <c r="H46" s="101">
        <f t="shared" si="11"/>
        <v>0</v>
      </c>
      <c r="I46" s="140" t="s">
        <v>147</v>
      </c>
      <c r="J46" s="150"/>
      <c r="K46" s="94"/>
      <c r="L46" s="95"/>
    </row>
    <row r="47" spans="2:12" s="93" customFormat="1" ht="12.95" customHeight="1">
      <c r="B47" s="136">
        <v>38</v>
      </c>
      <c r="C47" s="148" t="s">
        <v>101</v>
      </c>
      <c r="D47" s="183" t="s">
        <v>102</v>
      </c>
      <c r="E47" s="145" t="s">
        <v>11</v>
      </c>
      <c r="F47" s="99">
        <f>CEILING(((2.5*0.8)/0.625)*5,1)</f>
        <v>16</v>
      </c>
      <c r="G47" s="234"/>
      <c r="H47" s="184">
        <f aca="true" t="shared" si="12" ref="H47:H49">F47*G47</f>
        <v>0</v>
      </c>
      <c r="I47" s="140" t="s">
        <v>147</v>
      </c>
      <c r="K47" s="94"/>
      <c r="L47" s="95"/>
    </row>
    <row r="48" spans="2:12" s="93" customFormat="1" ht="12.95" customHeight="1">
      <c r="B48" s="136">
        <v>39</v>
      </c>
      <c r="C48" s="98" t="s">
        <v>60</v>
      </c>
      <c r="D48" s="118" t="s">
        <v>67</v>
      </c>
      <c r="E48" s="98" t="s">
        <v>32</v>
      </c>
      <c r="F48" s="99">
        <f>CEILING(((F46*3)+(F47*0.4))*0.079522*1.3,1)</f>
        <v>3</v>
      </c>
      <c r="G48" s="234"/>
      <c r="H48" s="147">
        <f t="shared" si="12"/>
        <v>0</v>
      </c>
      <c r="I48" s="140" t="s">
        <v>147</v>
      </c>
      <c r="J48" s="135"/>
      <c r="K48" s="94"/>
      <c r="L48" s="95"/>
    </row>
    <row r="49" spans="2:12" s="93" customFormat="1" ht="12.95" customHeight="1">
      <c r="B49" s="136">
        <v>40</v>
      </c>
      <c r="C49" s="148" t="s">
        <v>127</v>
      </c>
      <c r="D49" s="149" t="s">
        <v>107</v>
      </c>
      <c r="E49" s="142" t="s">
        <v>13</v>
      </c>
      <c r="F49" s="90">
        <f>CEILING(F45*0.15,0.1)</f>
        <v>3.3000000000000003</v>
      </c>
      <c r="G49" s="234"/>
      <c r="H49" s="101">
        <f t="shared" si="12"/>
        <v>0</v>
      </c>
      <c r="I49" s="140" t="s">
        <v>147</v>
      </c>
      <c r="J49" s="150"/>
      <c r="K49" s="94"/>
      <c r="L49" s="95"/>
    </row>
    <row r="50" spans="2:12" s="93" customFormat="1" ht="27" customHeight="1" thickBot="1">
      <c r="B50" s="185">
        <v>41</v>
      </c>
      <c r="C50" s="106" t="s">
        <v>103</v>
      </c>
      <c r="D50" s="156" t="s">
        <v>104</v>
      </c>
      <c r="E50" s="106" t="s">
        <v>32</v>
      </c>
      <c r="F50" s="107">
        <f>CEILING((2.5*3)*1.3,1)</f>
        <v>10</v>
      </c>
      <c r="G50" s="235"/>
      <c r="H50" s="108">
        <f aca="true" t="shared" si="13" ref="H50">F50*G50</f>
        <v>0</v>
      </c>
      <c r="I50" s="159" t="s">
        <v>147</v>
      </c>
      <c r="J50" s="150"/>
      <c r="K50" s="94"/>
      <c r="L50" s="95"/>
    </row>
    <row r="51" spans="2:12" s="93" customFormat="1" ht="12.95" customHeight="1" thickBot="1">
      <c r="B51" s="186"/>
      <c r="C51" s="187"/>
      <c r="D51" s="188" t="s">
        <v>141</v>
      </c>
      <c r="E51" s="187"/>
      <c r="F51" s="187"/>
      <c r="G51" s="189"/>
      <c r="H51" s="190">
        <f>SUM(H52:H54)</f>
        <v>0</v>
      </c>
      <c r="I51" s="191"/>
      <c r="J51" s="150"/>
      <c r="K51" s="94"/>
      <c r="L51" s="95"/>
    </row>
    <row r="52" spans="2:12" s="93" customFormat="1" ht="12.95" customHeight="1">
      <c r="B52" s="192">
        <v>42</v>
      </c>
      <c r="C52" s="96" t="s">
        <v>44</v>
      </c>
      <c r="D52" s="112" t="s">
        <v>138</v>
      </c>
      <c r="E52" s="114" t="s">
        <v>11</v>
      </c>
      <c r="F52" s="115">
        <v>4</v>
      </c>
      <c r="G52" s="240"/>
      <c r="H52" s="193">
        <f aca="true" t="shared" si="14" ref="H52">G52*F52</f>
        <v>0</v>
      </c>
      <c r="I52" s="194" t="s">
        <v>29</v>
      </c>
      <c r="J52" s="150"/>
      <c r="K52" s="94"/>
      <c r="L52" s="95"/>
    </row>
    <row r="53" spans="2:12" s="93" customFormat="1" ht="12.95" customHeight="1">
      <c r="B53" s="192">
        <v>43</v>
      </c>
      <c r="C53" s="96" t="s">
        <v>44</v>
      </c>
      <c r="D53" s="118" t="s">
        <v>139</v>
      </c>
      <c r="E53" s="98" t="s">
        <v>11</v>
      </c>
      <c r="F53" s="99">
        <f>6</f>
        <v>6</v>
      </c>
      <c r="G53" s="234"/>
      <c r="H53" s="101">
        <f aca="true" t="shared" si="15" ref="H53:H54">F53*G53</f>
        <v>0</v>
      </c>
      <c r="I53" s="194" t="s">
        <v>29</v>
      </c>
      <c r="J53" s="150"/>
      <c r="K53" s="94"/>
      <c r="L53" s="95"/>
    </row>
    <row r="54" spans="2:12" s="93" customFormat="1" ht="13.9" customHeight="1" thickBot="1">
      <c r="B54" s="195">
        <v>44</v>
      </c>
      <c r="C54" s="196" t="s">
        <v>44</v>
      </c>
      <c r="D54" s="197" t="s">
        <v>140</v>
      </c>
      <c r="E54" s="198" t="s">
        <v>46</v>
      </c>
      <c r="F54" s="199">
        <v>1</v>
      </c>
      <c r="G54" s="241"/>
      <c r="H54" s="200">
        <f t="shared" si="15"/>
        <v>0</v>
      </c>
      <c r="I54" s="201" t="s">
        <v>29</v>
      </c>
      <c r="J54" s="179"/>
      <c r="K54" s="94"/>
      <c r="L54" s="95"/>
    </row>
    <row r="55" spans="2:12" s="93" customFormat="1" ht="12.95" customHeight="1" thickBot="1">
      <c r="B55" s="80"/>
      <c r="C55" s="81"/>
      <c r="D55" s="202" t="s">
        <v>74</v>
      </c>
      <c r="E55" s="81"/>
      <c r="F55" s="81"/>
      <c r="G55" s="203"/>
      <c r="H55" s="204">
        <f>SUM(H56:H60)</f>
        <v>0</v>
      </c>
      <c r="I55" s="85"/>
      <c r="K55" s="59"/>
      <c r="L55" s="95"/>
    </row>
    <row r="56" spans="2:13" s="93" customFormat="1" ht="12.95" customHeight="1">
      <c r="B56" s="205">
        <v>45</v>
      </c>
      <c r="C56" s="166" t="s">
        <v>91</v>
      </c>
      <c r="D56" s="167" t="s">
        <v>92</v>
      </c>
      <c r="E56" s="129" t="s">
        <v>93</v>
      </c>
      <c r="F56" s="168">
        <f>CEILING((F24)*2.3,0.1)</f>
        <v>338.1</v>
      </c>
      <c r="G56" s="236"/>
      <c r="H56" s="133">
        <f aca="true" t="shared" si="16" ref="H56:H60">F56*G56</f>
        <v>0</v>
      </c>
      <c r="I56" s="134" t="s">
        <v>147</v>
      </c>
      <c r="J56" s="150"/>
      <c r="K56" s="94"/>
      <c r="L56" s="95"/>
      <c r="M56" s="206"/>
    </row>
    <row r="57" spans="2:13" s="93" customFormat="1" ht="12.95" customHeight="1">
      <c r="B57" s="205">
        <v>46</v>
      </c>
      <c r="C57" s="96" t="s">
        <v>108</v>
      </c>
      <c r="D57" s="97" t="s">
        <v>109</v>
      </c>
      <c r="E57" s="207" t="s">
        <v>93</v>
      </c>
      <c r="F57" s="208">
        <f>CEILING(((F24+F25)*2.3)+((F26+F39)*2),0.1)</f>
        <v>764.7</v>
      </c>
      <c r="G57" s="242"/>
      <c r="H57" s="101">
        <f t="shared" si="16"/>
        <v>0</v>
      </c>
      <c r="I57" s="92" t="s">
        <v>147</v>
      </c>
      <c r="J57" s="150"/>
      <c r="K57" s="94"/>
      <c r="L57" s="95"/>
      <c r="M57" s="206"/>
    </row>
    <row r="58" spans="2:13" s="93" customFormat="1" ht="12.95" customHeight="1">
      <c r="B58" s="205">
        <v>47</v>
      </c>
      <c r="C58" s="96" t="s">
        <v>110</v>
      </c>
      <c r="D58" s="97" t="s">
        <v>111</v>
      </c>
      <c r="E58" s="98" t="s">
        <v>93</v>
      </c>
      <c r="F58" s="99">
        <f>F57*24</f>
        <v>18352.800000000003</v>
      </c>
      <c r="G58" s="232"/>
      <c r="H58" s="184">
        <f t="shared" si="16"/>
        <v>0</v>
      </c>
      <c r="I58" s="140" t="s">
        <v>147</v>
      </c>
      <c r="J58" s="150"/>
      <c r="K58" s="94"/>
      <c r="L58" s="95"/>
      <c r="M58" s="206"/>
    </row>
    <row r="59" spans="2:13" s="93" customFormat="1" ht="12.95" customHeight="1">
      <c r="B59" s="205">
        <v>48</v>
      </c>
      <c r="C59" s="98" t="s">
        <v>146</v>
      </c>
      <c r="D59" s="117" t="s">
        <v>94</v>
      </c>
      <c r="E59" s="98" t="s">
        <v>93</v>
      </c>
      <c r="F59" s="99">
        <f>F57</f>
        <v>764.7</v>
      </c>
      <c r="G59" s="232"/>
      <c r="H59" s="184">
        <f t="shared" si="16"/>
        <v>0</v>
      </c>
      <c r="I59" s="140" t="s">
        <v>29</v>
      </c>
      <c r="J59" s="150"/>
      <c r="K59" s="120"/>
      <c r="L59" s="121"/>
      <c r="M59" s="206"/>
    </row>
    <row r="60" spans="2:13" s="93" customFormat="1" ht="12.95" customHeight="1" thickBot="1">
      <c r="B60" s="209">
        <v>49</v>
      </c>
      <c r="C60" s="171" t="s">
        <v>134</v>
      </c>
      <c r="D60" s="210" t="s">
        <v>135</v>
      </c>
      <c r="E60" s="171" t="s">
        <v>93</v>
      </c>
      <c r="F60" s="102">
        <f>CEILING((((PI()*(0.23^2))*6.5*(F14+F16+F18+F20))+F23)*750*0.001,0.1)</f>
        <v>24.200000000000003</v>
      </c>
      <c r="G60" s="243"/>
      <c r="H60" s="211">
        <f t="shared" si="16"/>
        <v>0</v>
      </c>
      <c r="I60" s="212" t="s">
        <v>29</v>
      </c>
      <c r="J60" s="150"/>
      <c r="K60" s="120"/>
      <c r="L60" s="121"/>
      <c r="M60" s="206"/>
    </row>
    <row r="61" spans="2:12" s="93" customFormat="1" ht="12.95" customHeight="1" thickBot="1">
      <c r="B61" s="213"/>
      <c r="C61" s="81"/>
      <c r="D61" s="202" t="s">
        <v>22</v>
      </c>
      <c r="E61" s="81"/>
      <c r="F61" s="81"/>
      <c r="G61" s="203"/>
      <c r="H61" s="204">
        <f>SUM(H62:H66)</f>
        <v>0</v>
      </c>
      <c r="I61" s="85"/>
      <c r="K61" s="59"/>
      <c r="L61" s="59"/>
    </row>
    <row r="62" spans="2:12" s="93" customFormat="1" ht="12.95" customHeight="1">
      <c r="B62" s="214">
        <v>50</v>
      </c>
      <c r="C62" s="166" t="s">
        <v>43</v>
      </c>
      <c r="D62" s="215" t="s">
        <v>41</v>
      </c>
      <c r="E62" s="216" t="s">
        <v>46</v>
      </c>
      <c r="F62" s="217">
        <f>1</f>
        <v>1</v>
      </c>
      <c r="G62" s="244"/>
      <c r="H62" s="218">
        <f>G62*F62</f>
        <v>0</v>
      </c>
      <c r="I62" s="219" t="s">
        <v>29</v>
      </c>
      <c r="J62" s="179"/>
      <c r="K62" s="59"/>
      <c r="L62" s="59"/>
    </row>
    <row r="63" spans="2:12" s="93" customFormat="1" ht="12.95" customHeight="1">
      <c r="B63" s="192">
        <v>51</v>
      </c>
      <c r="C63" s="96" t="s">
        <v>50</v>
      </c>
      <c r="D63" s="220" t="s">
        <v>47</v>
      </c>
      <c r="E63" s="114" t="s">
        <v>46</v>
      </c>
      <c r="F63" s="109">
        <f>1</f>
        <v>1</v>
      </c>
      <c r="G63" s="245"/>
      <c r="H63" s="221">
        <f aca="true" t="shared" si="17" ref="H63">G63*F63</f>
        <v>0</v>
      </c>
      <c r="I63" s="194" t="s">
        <v>29</v>
      </c>
      <c r="J63" s="179"/>
      <c r="K63" s="59"/>
      <c r="L63" s="59"/>
    </row>
    <row r="64" spans="2:12" s="93" customFormat="1" ht="12.95" customHeight="1">
      <c r="B64" s="192">
        <v>52</v>
      </c>
      <c r="C64" s="96" t="s">
        <v>42</v>
      </c>
      <c r="D64" s="112" t="s">
        <v>49</v>
      </c>
      <c r="E64" s="114" t="s">
        <v>46</v>
      </c>
      <c r="F64" s="109">
        <f>1</f>
        <v>1</v>
      </c>
      <c r="G64" s="245"/>
      <c r="H64" s="221">
        <f aca="true" t="shared" si="18" ref="H64">G64*F64</f>
        <v>0</v>
      </c>
      <c r="I64" s="194" t="s">
        <v>29</v>
      </c>
      <c r="J64" s="179"/>
      <c r="K64" s="59"/>
      <c r="L64" s="59"/>
    </row>
    <row r="65" spans="2:12" s="93" customFormat="1" ht="12.95" customHeight="1">
      <c r="B65" s="192">
        <v>53</v>
      </c>
      <c r="C65" s="222" t="s">
        <v>61</v>
      </c>
      <c r="D65" s="223" t="s">
        <v>62</v>
      </c>
      <c r="E65" s="222" t="s">
        <v>13</v>
      </c>
      <c r="F65" s="224">
        <f>6*6</f>
        <v>36</v>
      </c>
      <c r="G65" s="246"/>
      <c r="H65" s="225">
        <f>G65*F65</f>
        <v>0</v>
      </c>
      <c r="I65" s="194" t="s">
        <v>29</v>
      </c>
      <c r="J65" s="179"/>
      <c r="K65" s="59"/>
      <c r="L65" s="59"/>
    </row>
    <row r="66" spans="2:12" s="93" customFormat="1" ht="12.95" customHeight="1" thickBot="1">
      <c r="B66" s="226">
        <v>54</v>
      </c>
      <c r="C66" s="104" t="s">
        <v>45</v>
      </c>
      <c r="D66" s="227" t="s">
        <v>48</v>
      </c>
      <c r="E66" s="228" t="s">
        <v>32</v>
      </c>
      <c r="F66" s="229">
        <f>5*16</f>
        <v>80</v>
      </c>
      <c r="G66" s="247"/>
      <c r="H66" s="230">
        <f aca="true" t="shared" si="19" ref="H66">G66*F66</f>
        <v>0</v>
      </c>
      <c r="I66" s="231" t="s">
        <v>29</v>
      </c>
      <c r="J66" s="179"/>
      <c r="K66" s="59"/>
      <c r="L66" s="59"/>
    </row>
  </sheetData>
  <sheetProtection password="CBD3" sheet="1" objects="1" scenarios="1" selectLockedCells="1"/>
  <protectedRanges>
    <protectedRange sqref="E46 E49 E35:E36" name="Oblast1_3_3_1_1"/>
    <protectedRange sqref="E42:E44" name="Oblast1_3_3_1"/>
    <protectedRange sqref="D37" name="Oblast1_4_1_1_1_2"/>
    <protectedRange sqref="C33:E33" name="Oblast1_3_4_1"/>
    <protectedRange sqref="D30:E30 E29" name="Oblast1_3_3_1_2"/>
  </protectedRanges>
  <mergeCells count="2">
    <mergeCell ref="B4:C4"/>
    <mergeCell ref="B3:C3"/>
  </mergeCells>
  <printOptions horizontalCentered="1"/>
  <pageMargins left="0.1968503937007874" right="0.1968503937007874" top="0.7874015748031497" bottom="0.5905511811023623" header="0" footer="0"/>
  <pageSetup fitToHeight="3" horizontalDpi="300" verticalDpi="300" orientation="landscape" paperSize="9" scale="92" r:id="rId1"/>
  <headerFooter alignWithMargins="0">
    <oddFooter>&amp;C&amp;"Arial CE,Běžné"&amp;7  Strana &amp;P z &amp;N</oddFooter>
  </headerFooter>
  <rowBreaks count="1" manualBreakCount="1">
    <brk id="33" min="1" max="16383" man="1"/>
  </rowBreaks>
  <ignoredErrors>
    <ignoredError sqref="F16 F20 F18 H28 H13 H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Ondřej Holý</cp:lastModifiedBy>
  <cp:lastPrinted>2020-12-01T12:24:00Z</cp:lastPrinted>
  <dcterms:created xsi:type="dcterms:W3CDTF">2010-05-13T13:15:26Z</dcterms:created>
  <dcterms:modified xsi:type="dcterms:W3CDTF">2022-12-16T12:17:08Z</dcterms:modified>
  <cp:category/>
  <cp:version/>
  <cp:contentType/>
  <cp:contentStatus/>
</cp:coreProperties>
</file>