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Stavební rozpočet - součet" sheetId="2" r:id="rId2"/>
    <sheet name="Výkaz výměr" sheetId="3" r:id="rId3"/>
    <sheet name="Krycí list rozpočtu" sheetId="4" r:id="rId4"/>
  </sheets>
  <definedNames/>
  <calcPr fullCalcOnLoad="1"/>
</workbook>
</file>

<file path=xl/sharedStrings.xml><?xml version="1.0" encoding="utf-8"?>
<sst xmlns="http://schemas.openxmlformats.org/spreadsheetml/2006/main" count="946" uniqueCount="336">
  <si>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</si>
  <si>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</si>
  <si>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</si>
  <si>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</si>
  <si>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</si>
  <si>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</si>
  <si>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</si>
  <si>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</si>
  <si>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</si>
  <si>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</si>
  <si>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</si>
  <si>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</si>
  <si>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</si>
  <si>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</si>
  <si>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</si>
  <si>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</si>
  <si>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</si>
  <si>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</si>
  <si>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</si>
  <si>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</si>
  <si>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</si>
  <si>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</si>
  <si>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</si>
  <si>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</si>
  <si>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</si>
  <si>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</si>
  <si>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</si>
  <si>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</si>
  <si>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</si>
  <si>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</si>
  <si>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</si>
  <si>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</si>
  <si>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</si>
  <si>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</si>
  <si>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</si>
  <si>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</si>
  <si>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</si>
  <si>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</si>
  <si>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</si>
  <si>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</si>
  <si>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</si>
  <si>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</si>
  <si>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</si>
  <si>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</si>
  <si>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</si>
  <si>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</si>
  <si>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</si>
  <si>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</si>
  <si>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</si>
  <si>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</si>
  <si>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</si>
  <si>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</si>
  <si>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</si>
  <si>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Poznámka:</t>
  </si>
  <si>
    <t>Kód</t>
  </si>
  <si>
    <t>0</t>
  </si>
  <si>
    <t>00001010RMVD</t>
  </si>
  <si>
    <t>00001020RMVD</t>
  </si>
  <si>
    <t>00001030RMVD</t>
  </si>
  <si>
    <t>00010010RMVD</t>
  </si>
  <si>
    <t>00010020RMVD</t>
  </si>
  <si>
    <t>00010030RMVD</t>
  </si>
  <si>
    <t>00020010RMVD</t>
  </si>
  <si>
    <t>00030100RMVD</t>
  </si>
  <si>
    <t>00040010RMVD</t>
  </si>
  <si>
    <t>00040020RMVD</t>
  </si>
  <si>
    <t>111103201R00</t>
  </si>
  <si>
    <t>113151119R00</t>
  </si>
  <si>
    <t>113106231R00</t>
  </si>
  <si>
    <t>113107415R00</t>
  </si>
  <si>
    <t>RTS komentář:</t>
  </si>
  <si>
    <t>115001104R00</t>
  </si>
  <si>
    <t>119001421R00</t>
  </si>
  <si>
    <t>122302202R00</t>
  </si>
  <si>
    <t>122302209R00</t>
  </si>
  <si>
    <t>162601102R00</t>
  </si>
  <si>
    <t>162702199R00</t>
  </si>
  <si>
    <t>327216232RT2</t>
  </si>
  <si>
    <t>57</t>
  </si>
  <si>
    <t>577000062RA0</t>
  </si>
  <si>
    <t>577112113RT3</t>
  </si>
  <si>
    <t>577114115RT3</t>
  </si>
  <si>
    <t>573231111R00</t>
  </si>
  <si>
    <t>59</t>
  </si>
  <si>
    <t>596215021R00</t>
  </si>
  <si>
    <t>596215028R00</t>
  </si>
  <si>
    <t>596291111R00</t>
  </si>
  <si>
    <t>83</t>
  </si>
  <si>
    <t>831310015RAA</t>
  </si>
  <si>
    <t>91</t>
  </si>
  <si>
    <t>911231111R00</t>
  </si>
  <si>
    <t>914001111R00</t>
  </si>
  <si>
    <t>915712112R00</t>
  </si>
  <si>
    <t>915711112R00</t>
  </si>
  <si>
    <t>916561111RT7</t>
  </si>
  <si>
    <t>917882111RU2</t>
  </si>
  <si>
    <t>917882111RU3</t>
  </si>
  <si>
    <t>917762111RT7</t>
  </si>
  <si>
    <t>919735113R00</t>
  </si>
  <si>
    <t>M001VD</t>
  </si>
  <si>
    <t>0010001VD</t>
  </si>
  <si>
    <t>404459515</t>
  </si>
  <si>
    <t>404459508</t>
  </si>
  <si>
    <t>59245267</t>
  </si>
  <si>
    <t>59245308</t>
  </si>
  <si>
    <t>592453093</t>
  </si>
  <si>
    <t>63127241</t>
  </si>
  <si>
    <t>55395101.M</t>
  </si>
  <si>
    <t>Nová Autobusová Zástávka - TURNOV - LIDL</t>
  </si>
  <si>
    <t>Turnov - průjezdní úsek silnice I/35</t>
  </si>
  <si>
    <t>Zkrácený popis</t>
  </si>
  <si>
    <t>Rozměry</t>
  </si>
  <si>
    <t>Všeobecné konstrukce a práce</t>
  </si>
  <si>
    <t>Průzkumné práce</t>
  </si>
  <si>
    <t>Vytýčení  inženýrských sítí</t>
  </si>
  <si>
    <t>Předání a převzetí staveniště</t>
  </si>
  <si>
    <t>Vybudování zařízení staveniště</t>
  </si>
  <si>
    <t>Provoz zařízení staveniště</t>
  </si>
  <si>
    <t>Odstraněnmí zařízení staveniště</t>
  </si>
  <si>
    <t>Bezpečnostní a hygienické opatření na staveništi</t>
  </si>
  <si>
    <t>Dočasná dopravní opatření</t>
  </si>
  <si>
    <t>Geodetické  zaměření skutečného provedení</t>
  </si>
  <si>
    <t>Dokumentace  skutečného provedení</t>
  </si>
  <si>
    <t>Přípravné a přidružené práce</t>
  </si>
  <si>
    <t>Kosení travního porostu řídkého ve veget. období</t>
  </si>
  <si>
    <t>Fréz.živič.krytu pl.do 500 m2,pruh do 75cm,tl.10cm</t>
  </si>
  <si>
    <t>Rozebrání dlažeb ze zámkové dlažby v kamenivu</t>
  </si>
  <si>
    <t>Odstranění podkladu nad 50 m2,kam.těžené tl.15 cm</t>
  </si>
  <si>
    <t>Položka je určena i pro odstranění podkladů nebo krytů ze štěrkopísku, škváry, strusky nebo z mechanicky zpevněných zemin. Pro volbu položky z hlediska množství se uvažuje každá souvisle odstraňovaná plocha krytu nebo podkladu stejného druhu samostatně.Odstraňuje-li se několik vrstev vozovky najednou, jednotlivé vrstvy se oceňují každá samostatně.</t>
  </si>
  <si>
    <t>Převedení vody potrubím o průměru do DN 300 mm</t>
  </si>
  <si>
    <t>Platí i pro výtlačné potrubí nebo žlab o rozvinutém obvodu do 1,00 m</t>
  </si>
  <si>
    <t>Dočasné zajištění kabelů - do počtu 3 kabelů</t>
  </si>
  <si>
    <t>Položka se použije i pro zajištění kabelových tratí z volně ložených kabelů.</t>
  </si>
  <si>
    <t>Odkopávky a prokopávky</t>
  </si>
  <si>
    <t>Odkopávky pro silnice v hor. 4 do 1000 m3</t>
  </si>
  <si>
    <t>Příplatek za lepivost - odkop pro silnice v hor. 4</t>
  </si>
  <si>
    <t>Do měrných jednotek se udává poměrné množství zeminy, které ulpí v nářadí a o které je snížen celkový výkon stroje.</t>
  </si>
  <si>
    <t>Přemístění výkopku</t>
  </si>
  <si>
    <t>Vodorovné přemístění výkopku z hor.1-4 do 5000 m</t>
  </si>
  <si>
    <t>Poplatek za skládku zeminy</t>
  </si>
  <si>
    <t>Zdi přehradní a opěrné</t>
  </si>
  <si>
    <t>Opěr.zeď gabion.š.paty 1m,v.1,5m,2vrst,oko 100/100</t>
  </si>
  <si>
    <t>V ceně je dodávka a montáž svařovaných sítí Al+Zn oka 100x100 mm, spirál, táhel, vázacího drátu, kamenivo k vyplnění gabionů. Výška zdi 1,5 m, dvě vrstvy. Šířka i výška spodní vrstvy 1,0 m, šířka i výška horní vrstvy 0,5 m. Hladký líc, odskok v rubu, vnitřní délkové dělení po 1,0 m.  Cena neobsahuje: - základ pod gabion - kotvení k základu  Dodavatel: A-Z GABION, s.r.o.  Lelekovice 902  664 31 Lelekovice  a-zgabion@email.cz  tel: 725 103 900  tel: 604 273 018  fax: 541 232 396</t>
  </si>
  <si>
    <t>Kryty pozemních komunikací, letišť a ploch z kameniva nebo živičné</t>
  </si>
  <si>
    <t>Komunikace s asfaltobeton. krytem D1-N-7-III-PIII</t>
  </si>
  <si>
    <t>Skladba dle publikace vydané Ministerstvem dopravy České republiky pod č. TP 170  "Navrhování vozovek pozemních komunikací": ACO 11+  40 mm ACL 16+  60 mm ACP 16+  50 mm S I  170 mm MZ  250 mm Celkem  570 mm  Včetně zemních prací.</t>
  </si>
  <si>
    <t>Beton asfalt. ACO 11 S modifik. š. do 3 m, tl.4 cm</t>
  </si>
  <si>
    <t>Beton asf.ACL 16 S,modif.ložný š. do 3 m, tl. 6 cm</t>
  </si>
  <si>
    <t>Postřik živičný spojovací z emulze 0,5-0,7 kg/m2</t>
  </si>
  <si>
    <t>Kryty pozemních komunikací, letišť a ploch dlážděných (předlažby)</t>
  </si>
  <si>
    <t>Kladení zámkové dlažby tl. 6 cm do drtě tl. 4 cm</t>
  </si>
  <si>
    <t>Od CÚ 2015/ II. není v jednotkové ceně započteno řezání dlaždic!!! Rozpočtuje se samostatnou položkou 596 29-1111.R00 Řezání zámkové dlažby tl. 60 mm. V položce jsou zakalkulovány i náklady na dodání hmot pro lože a na dodání materiálu na výplň spár. V položce nejsou zakalkulovány náklady na dodání zámkové dlažby, která se oceňuje ve specifikaci, ztratné se doporučuje ve výši 5%.</t>
  </si>
  <si>
    <t>Příplatek za více barev dlažby tl. 6 cm, do drtě</t>
  </si>
  <si>
    <t>V případě kladení více barev i více tvarů zámkové dlažby lze příplatky sčítat.</t>
  </si>
  <si>
    <t>Řezání zámkové dlažby tl. 60 mm</t>
  </si>
  <si>
    <t>Potrubí z trub kameninových</t>
  </si>
  <si>
    <t>Kanalizace z trub betonových DN 400</t>
  </si>
  <si>
    <t>V položce je zakalkulováno: hloubení rýh, pažení a rozepření rýh včetně přepažování, svislé přemístění výkopku, naložení přebytku po zásypu (0,63 m3/m rýhy), odvoz do 6 km a uložení na skládku, lože pod potrubí ze štěrkopísku, dodávka a osazení půlených obrubníků pod potrubí, dodávka a montáž potrubí z trub betonových TBR světlosti dle popisu, obetonování potrubí betonem prostým C 8/10 včetně bednění, obsyp potrubí prohozenou sypaninou, zásyp rýhy sypaninou, se zhutněním. V položce není kalkulován poplatek za skládku zeminy. Tyto náklady se oceňují individuálně podle místních podmínek.</t>
  </si>
  <si>
    <t>Doplňující konstrukce a práce na pozemních komunikacích a zpevněných plochách</t>
  </si>
  <si>
    <t>Osazení a montáž silnič.zábradlí ocelového,2 madla</t>
  </si>
  <si>
    <t>Osazení sloupků dopr.značky vč. beton. základu</t>
  </si>
  <si>
    <t>V položce započteno: výkop jamky s odhozem výkopku na vzdálenost do 3 m, osazení sloupku do monolitického betonového základu, dodávka a osazení víčka ke sloupku.</t>
  </si>
  <si>
    <t>Vodorovné značení vodicích čar š.25 cm silnovrstvé</t>
  </si>
  <si>
    <t>Vodorovné značení dělících čar š.12 cm silnovrstvé</t>
  </si>
  <si>
    <t>Osazení záhon.obrubníků do lože z C 12/15 s opěrou</t>
  </si>
  <si>
    <t>Osazení obrubníku bet. zastávkového, lože C 12/15</t>
  </si>
  <si>
    <t>Obrubník pro přechod ze silničních obrubníků v. 250 na zastávkový.</t>
  </si>
  <si>
    <t>Obrubník pro postupnou změnu výšky na zastávkový obrubník v. 370 mm.</t>
  </si>
  <si>
    <t>Osazení ležat. obrub. bet. s opěrou,lože z C 12/15</t>
  </si>
  <si>
    <t>Řezání stávajícího živičného krytu tl. 10 - 15 cm</t>
  </si>
  <si>
    <t>V položce jsou zakalkulovány i náklady na spotřebu vody.</t>
  </si>
  <si>
    <t>dodávky</t>
  </si>
  <si>
    <t>přístřešek čekárny medium</t>
  </si>
  <si>
    <t>Ostatní materiál</t>
  </si>
  <si>
    <t>Patka kotevní kompletní AP 60/3</t>
  </si>
  <si>
    <t>Příslušenství dopravních značek kotevní patka kompletní AP60/3 včetně šroubů a krytek</t>
  </si>
  <si>
    <t>Sloupek Fe pr.70 pozinkovaný, l= 3000 mm</t>
  </si>
  <si>
    <t>Dlažba BEST KLASIKO červená pro nevidomé 20x10x6</t>
  </si>
  <si>
    <t>Dlažba vibrolisovaná, barva červená</t>
  </si>
  <si>
    <t>Dlažba BEST KLASIKO přírodní  20x10x6</t>
  </si>
  <si>
    <t>Dlažba BEST KLASIKO rovné barevná  20x10x6</t>
  </si>
  <si>
    <t>Tkanina skelná výztužná Vertex Grid G120 š. 1000mm</t>
  </si>
  <si>
    <t>Sklovláknité perlinkové tkaniny kombinované se speciálně navrženou povrchovou úpravou mohou být použity v širokém okruhu aplikací. Mřížkové tkaniny jsou určeny k výztuze podlahových potěrů, aby nedocházelo k jejich praskání v době vysychání. Jsou řešením pro tradiční suché i samonivelační podlahové potěry. Ulehčují práci a zaručují kvalitní povrch.  velikost ok 40 mm Pevnost 30 kN/m  balení 50 m2 362200120</t>
  </si>
  <si>
    <t>Zábradlí ocelové obloukové bezpečnostní GZ 200-35</t>
  </si>
  <si>
    <t>Doba výstavby:</t>
  </si>
  <si>
    <t>Začátek výstavby:</t>
  </si>
  <si>
    <t>Konec výstavby:</t>
  </si>
  <si>
    <t>Zpracováno dne:</t>
  </si>
  <si>
    <t>15.11.2017</t>
  </si>
  <si>
    <t>MJ</t>
  </si>
  <si>
    <t>soubor</t>
  </si>
  <si>
    <t>Soubor</t>
  </si>
  <si>
    <t>ha</t>
  </si>
  <si>
    <t>m2</t>
  </si>
  <si>
    <t>m</t>
  </si>
  <si>
    <t>m3</t>
  </si>
  <si>
    <t>kus</t>
  </si>
  <si>
    <t>kpl</t>
  </si>
  <si>
    <t>ks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</si>
  <si>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</si>
  <si>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</si>
  <si>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</si>
  <si>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</si>
  <si>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</si>
  <si>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</si>
  <si>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</si>
  <si>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 </t>
  </si>
  <si>
    <t>Náklady (Kč)</t>
  </si>
  <si>
    <t>Dodávka</t>
  </si>
  <si>
    <t>Celkem:</t>
  </si>
  <si>
    <t>Montáž</t>
  </si>
  <si>
    <t>Celkem</t>
  </si>
  <si>
    <t>Cenová</t>
  </si>
  <si>
    <t>soustava</t>
  </si>
  <si>
    <t>RTS II / 2017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</si>
  <si>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</si>
  <si>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</si>
  <si>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</si>
  <si>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</si>
  <si>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</si>
  <si>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</si>
  <si>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</si>
  <si>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</si>
  <si>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</si>
  <si>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0_</t>
  </si>
  <si>
    <t>11_</t>
  </si>
  <si>
    <t>12_</t>
  </si>
  <si>
    <t>16_</t>
  </si>
  <si>
    <t>32_</t>
  </si>
  <si>
    <t>57_</t>
  </si>
  <si>
    <t>59_</t>
  </si>
  <si>
    <t>83_</t>
  </si>
  <si>
    <t>91_</t>
  </si>
  <si>
    <t>M001VD_</t>
  </si>
  <si>
    <t>Z99999_</t>
  </si>
  <si>
    <t>1_</t>
  </si>
  <si>
    <t>3_</t>
  </si>
  <si>
    <t>5_</t>
  </si>
  <si>
    <t>8_</t>
  </si>
  <si>
    <t>9_</t>
  </si>
  <si>
    <t>Z_</t>
  </si>
  <si>
    <t>_</t>
  </si>
  <si>
    <t>MAT</t>
  </si>
  <si>
    <t>WORK</t>
  </si>
  <si>
    <t>CELK</t>
  </si>
  <si>
    <t>Slepý stavební rozpočet - rekapitulace</t>
  </si>
  <si>
    <t>Objekt</t>
  </si>
  <si>
    <t>Náklady (Kč) - dodávka</t>
  </si>
  <si>
    <t>Náklady (Kč) - Montáž</t>
  </si>
  <si>
    <t>Náklady (Kč) - celkem</t>
  </si>
  <si>
    <t>T</t>
  </si>
  <si>
    <t>Výkaz výměr</t>
  </si>
  <si>
    <t>0,1   </t>
  </si>
  <si>
    <t>0,2   </t>
  </si>
  <si>
    <t>0,25   </t>
  </si>
  <si>
    <t>0,15   </t>
  </si>
  <si>
    <t>65,0* 5,0*0,0001   </t>
  </si>
  <si>
    <t>(72,50-15,20)*1,0   </t>
  </si>
  <si>
    <t>(71,75-30,00)*1,50   </t>
  </si>
  <si>
    <t>62,62   </t>
  </si>
  <si>
    <t>52   </t>
  </si>
  <si>
    <t>70   </t>
  </si>
  <si>
    <t>380,97   </t>
  </si>
  <si>
    <t>0,5*0,5*2,0*8   </t>
  </si>
  <si>
    <t>0,5*0,8*2,0*6   </t>
  </si>
  <si>
    <t>0,8*1,0*2,0*5   </t>
  </si>
  <si>
    <t>1,00*1,00*2*24,5   </t>
  </si>
  <si>
    <t>1,00*0,50*2,0*6   </t>
  </si>
  <si>
    <t>58   </t>
  </si>
  <si>
    <t>64,77   </t>
  </si>
  <si>
    <t>2*64,77*2   </t>
  </si>
  <si>
    <t>35,68+34,02   klasik 200/100/60</t>
  </si>
  <si>
    <t>2,28+1,11   klasik imobil červená  200/100/60</t>
  </si>
  <si>
    <t>4,20   rovnmá berva</t>
  </si>
  <si>
    <t>77,29   </t>
  </si>
  <si>
    <t>69,70+4,20+3,39   </t>
  </si>
  <si>
    <t>50   </t>
  </si>
  <si>
    <t>38,00   </t>
  </si>
  <si>
    <t>2   </t>
  </si>
  <si>
    <t>78,80   </t>
  </si>
  <si>
    <t>3,25*4+24   </t>
  </si>
  <si>
    <t>25+1+2,9+38   </t>
  </si>
  <si>
    <t>14   </t>
  </si>
  <si>
    <t>12,50+36,0   </t>
  </si>
  <si>
    <t>71,75-20,16   </t>
  </si>
  <si>
    <t>2,28+1,11   </t>
  </si>
  <si>
    <t>;ztratné 1%; 0,0339   </t>
  </si>
  <si>
    <t>35,68+34,02   </t>
  </si>
  <si>
    <t>4,20   </t>
  </si>
  <si>
    <t>;ztratné 1%; 0,042   </t>
  </si>
  <si>
    <t>;ztratné 15%; 9,7155   </t>
  </si>
  <si>
    <t>19   </t>
  </si>
  <si>
    <t>Potřebné množství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</si>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</sst>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8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58"/>
      <name val="Arial"/>
      <family val="0"/>
    </font>
    <font>
      <i/>
      <sz val="9"/>
      <color indexed="58"/>
      <name val="Arial"/>
      <family val="0"/>
    </font>
    <font>
      <i/>
      <sz val="9"/>
      <color indexed="61"/>
      <name val="Arial"/>
      <family val="0"/>
    </font>
    <font>
      <i/>
      <sz val="9"/>
      <color indexed="62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42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6" xfId="0" applyNumberFormat="1" applyFont="1" applyFill="1" applyBorder="1" applyAlignment="1" applyProtection="1">
      <alignment horizontal="left" vertical="center"/>
      <protection/>
    </xf>
    <xf numFmtId="49" fontId="4" fillId="2" borderId="7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2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0" fontId="1" fillId="0" borderId="8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8" fillId="2" borderId="7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top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49" fontId="1" fillId="0" borderId="8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8" fillId="2" borderId="7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8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8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8" fillId="2" borderId="7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8" fillId="2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2" borderId="7" xfId="0" applyNumberFormat="1" applyFont="1" applyFill="1" applyBorder="1" applyAlignment="1" applyProtection="1">
      <alignment horizontal="right" vertical="center"/>
      <protection/>
    </xf>
    <xf numFmtId="4" fontId="8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8" xfId="0" applyNumberFormat="1" applyFont="1" applyFill="1" applyBorder="1" applyAlignment="1" applyProtection="1">
      <alignment horizontal="righ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49" fontId="3" fillId="0" borderId="29" xfId="0" applyNumberFormat="1" applyFont="1" applyFill="1" applyBorder="1" applyAlignment="1" applyProtection="1">
      <alignment horizontal="left" vertical="center"/>
      <protection/>
    </xf>
    <xf numFmtId="49" fontId="3" fillId="0" borderId="30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7" xfId="0" applyNumberFormat="1" applyFont="1" applyFill="1" applyBorder="1" applyAlignment="1" applyProtection="1">
      <alignment horizontal="left" vertical="center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1" fillId="0" borderId="7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7" xfId="0" applyNumberFormat="1" applyFont="1" applyFill="1" applyBorder="1" applyAlignment="1" applyProtection="1">
      <alignment horizontal="left" vertical="center"/>
      <protection/>
    </xf>
    <xf numFmtId="49" fontId="3" fillId="0" borderId="32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right" vertical="top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32" xfId="0" applyNumberFormat="1" applyFont="1" applyFill="1" applyBorder="1" applyAlignment="1" applyProtection="1">
      <alignment horizontal="right" vertical="center"/>
      <protection/>
    </xf>
    <xf numFmtId="4" fontId="5" fillId="0" borderId="7" xfId="0" applyNumberFormat="1" applyFont="1" applyFill="1" applyBorder="1" applyAlignment="1" applyProtection="1">
      <alignment horizontal="right" vertical="center"/>
      <protection/>
    </xf>
    <xf numFmtId="4" fontId="11" fillId="0" borderId="0" xfId="0" applyNumberFormat="1" applyFont="1" applyFill="1" applyBorder="1" applyAlignment="1" applyProtection="1">
      <alignment horizontal="right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49" fontId="13" fillId="0" borderId="34" xfId="0" applyNumberFormat="1" applyFont="1" applyFill="1" applyBorder="1" applyAlignment="1" applyProtection="1">
      <alignment horizontal="center" vertical="center"/>
      <protection/>
    </xf>
    <xf numFmtId="49" fontId="14" fillId="3" borderId="35" xfId="0" applyNumberFormat="1" applyFont="1" applyFill="1" applyBorder="1" applyAlignment="1" applyProtection="1">
      <alignment horizontal="center" vertical="center"/>
      <protection/>
    </xf>
    <xf numFmtId="49" fontId="15" fillId="0" borderId="36" xfId="0" applyNumberFormat="1" applyFont="1" applyFill="1" applyBorder="1" applyAlignment="1" applyProtection="1">
      <alignment horizontal="left" vertical="center"/>
      <protection/>
    </xf>
    <xf numFmtId="49" fontId="15" fillId="0" borderId="37" xfId="0" applyNumberFormat="1" applyFont="1" applyFill="1" applyBorder="1" applyAlignment="1" applyProtection="1">
      <alignment horizontal="left" vertical="center"/>
      <protection/>
    </xf>
    <xf numFmtId="49" fontId="15" fillId="0" borderId="38" xfId="0" applyNumberFormat="1" applyFont="1" applyFill="1" applyBorder="1" applyAlignment="1" applyProtection="1">
      <alignment horizontal="left" vertical="center"/>
      <protection/>
    </xf>
    <xf numFmtId="49" fontId="15" fillId="3" borderId="38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vertical="center"/>
      <protection/>
    </xf>
    <xf numFmtId="49" fontId="16" fillId="0" borderId="40" xfId="0" applyNumberFormat="1" applyFont="1" applyFill="1" applyBorder="1" applyAlignment="1" applyProtection="1">
      <alignment horizontal="left" vertical="center"/>
      <protection/>
    </xf>
    <xf numFmtId="49" fontId="16" fillId="0" borderId="27" xfId="0" applyNumberFormat="1" applyFont="1" applyFill="1" applyBorder="1" applyAlignment="1" applyProtection="1">
      <alignment horizontal="left" vertical="center"/>
      <protection/>
    </xf>
    <xf numFmtId="49" fontId="16" fillId="0" borderId="41" xfId="0" applyNumberFormat="1" applyFont="1" applyFill="1" applyBorder="1" applyAlignment="1" applyProtection="1">
      <alignment horizontal="left" vertical="center"/>
      <protection/>
    </xf>
    <xf numFmtId="49" fontId="7" fillId="0" borderId="7" xfId="0" applyNumberFormat="1" applyFont="1" applyFill="1" applyBorder="1" applyAlignment="1" applyProtection="1">
      <alignment horizontal="left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13" fillId="0" borderId="34" xfId="0" applyNumberFormat="1" applyFont="1" applyFill="1" applyBorder="1" applyAlignment="1" applyProtection="1">
      <alignment horizontal="center" vertical="center"/>
      <protection/>
    </xf>
    <xf numFmtId="49" fontId="17" fillId="0" borderId="38" xfId="0" applyNumberFormat="1" applyFont="1" applyFill="1" applyBorder="1" applyAlignment="1" applyProtection="1">
      <alignment horizontal="left" vertical="center"/>
      <protection/>
    </xf>
    <xf numFmtId="49" fontId="16" fillId="0" borderId="35" xfId="0" applyNumberFormat="1" applyFont="1" applyFill="1" applyBorder="1" applyAlignment="1" applyProtection="1">
      <alignment horizontal="left" vertical="center"/>
      <protection/>
    </xf>
    <xf numFmtId="0" fontId="15" fillId="0" borderId="42" xfId="0" applyNumberFormat="1" applyFont="1" applyFill="1" applyBorder="1" applyAlignment="1" applyProtection="1">
      <alignment horizontal="left" vertical="center"/>
      <protection/>
    </xf>
    <xf numFmtId="0" fontId="15" fillId="3" borderId="34" xfId="0" applyNumberFormat="1" applyFont="1" applyFill="1" applyBorder="1" applyAlignment="1" applyProtection="1">
      <alignment horizontal="left" vertical="center"/>
      <protection/>
    </xf>
    <xf numFmtId="0" fontId="16" fillId="0" borderId="7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9" xfId="0" applyNumberFormat="1" applyFont="1" applyFill="1" applyBorder="1" applyAlignment="1" applyProtection="1">
      <alignment horizontal="left" vertical="center"/>
      <protection/>
    </xf>
    <xf numFmtId="0" fontId="1" fillId="0" borderId="7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6" fillId="0" borderId="43" xfId="0" applyNumberFormat="1" applyFont="1" applyFill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center"/>
      <protection/>
    </xf>
    <xf numFmtId="0" fontId="16" fillId="0" borderId="45" xfId="0" applyNumberFormat="1" applyFont="1" applyFill="1" applyBorder="1" applyAlignment="1" applyProtection="1">
      <alignment horizontal="left" vertical="center"/>
      <protection/>
    </xf>
    <xf numFmtId="49" fontId="16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6" fillId="0" borderId="42" xfId="0" applyNumberFormat="1" applyFont="1" applyFill="1" applyBorder="1" applyAlignment="1" applyProtection="1">
      <alignment horizontal="left" vertical="center"/>
      <protection/>
    </xf>
    <xf numFmtId="4" fontId="16" fillId="0" borderId="35" xfId="0" applyNumberFormat="1" applyFont="1" applyFill="1" applyBorder="1" applyAlignment="1" applyProtection="1">
      <alignment horizontal="right" vertical="center"/>
      <protection/>
    </xf>
    <xf numFmtId="49" fontId="16" fillId="0" borderId="35" xfId="0" applyNumberFormat="1" applyFont="1" applyFill="1" applyBorder="1" applyAlignment="1" applyProtection="1">
      <alignment horizontal="right" vertical="center"/>
      <protection/>
    </xf>
    <xf numFmtId="4" fontId="16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9" fontId="1" fillId="0" borderId="23" xfId="0" applyNumberFormat="1" applyFont="1" applyFill="1" applyBorder="1" applyAlignment="1" applyProtection="1">
      <alignment horizontal="left" vertical="center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4" fontId="15" fillId="3" borderId="42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49" fontId="2" fillId="0" borderId="1" xfId="0" applyNumberFormat="1" applyFont="1" applyFill="1" applyBorder="1" applyAlignment="1" applyProtection="1">
      <alignment horizont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87"/>
  <sheetViews>
    <sheetView tabSelected="1" workbookViewId="0" topLeftCell="A1">
      <pane ySplit="11" topLeftCell="A12" activePane="bottomLeft" state="frozen"/>
      <selection pane="bottomLeft" activeCell="A1" sqref="A1:L1"/>
    </sheetView>
  </sheetViews>
  <sheetFormatPr defaultColWidth="11.57421875" defaultRowHeight="12.75"/>
  <cols>
    <col min="1" max="1" width="3.7109375" customWidth="1"/>
    <col min="2" max="2" width="14.28125" customWidth="1"/>
    <col min="3" max="3" width="46.421875" customWidth="1"/>
    <col min="6" max="6" width="6.7109375" customWidth="1"/>
    <col min="7" max="7" width="12.8515625" customWidth="1"/>
    <col min="8" max="8" width="12.00390625" customWidth="1"/>
    <col min="9" max="11" width="14.28125" customWidth="1"/>
    <col min="12" max="12" width="11.7109375" customWidth="1"/>
    <col min="25" max="62" width="12.140625" hidden="1" customWidth="1"/>
  </cols>
  <sheetData>
    <row r="1" spans="1:12" ht="72.75" customHeight="1">
      <c r="A1" s="141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ht="12.75">
      <c r="A2" s="3" t="s">
        <v>1</v>
      </c>
      <c r="B2" s="18"/>
      <c r="C2" s="26" t="s">
        <v>108</v>
      </c>
      <c r="D2" s="31" t="s">
        <v>184</v>
      </c>
      <c r="E2" s="18"/>
      <c r="F2" s="31" t="s">
        <v>6</v>
      </c>
      <c r="G2" s="18"/>
      <c r="H2" s="47" t="s">
        <v>200</v>
      </c>
      <c r="I2" s="31" t="s">
        <v>206</v>
      </c>
      <c r="J2" s="18"/>
      <c r="K2" s="18"/>
      <c r="L2" s="58"/>
      <c r="M2" s="68"/>
    </row>
    <row r="3" spans="1:13" ht="12.75">
      <c r="A3" s="4"/>
      <c r="B3" s="19"/>
      <c r="C3" s="27"/>
      <c r="D3" s="19"/>
      <c r="E3" s="19"/>
      <c r="F3" s="19"/>
      <c r="G3" s="19"/>
      <c r="H3" s="19"/>
      <c r="I3" s="19"/>
      <c r="J3" s="19"/>
      <c r="K3" s="19"/>
      <c r="L3" s="59"/>
      <c r="M3" s="68"/>
    </row>
    <row r="4" spans="1:13" ht="12.75">
      <c r="A4" s="5" t="s">
        <v>2</v>
      </c>
      <c r="B4" s="19"/>
      <c r="C4" s="16" t="s">
        <v>6</v>
      </c>
      <c r="D4" s="32" t="s">
        <v>185</v>
      </c>
      <c r="E4" s="19"/>
      <c r="F4" s="32" t="s">
        <v>188</v>
      </c>
      <c r="G4" s="19"/>
      <c r="H4" s="16" t="s">
        <v>201</v>
      </c>
      <c r="I4" s="32" t="s">
        <v>206</v>
      </c>
      <c r="J4" s="19"/>
      <c r="K4" s="19"/>
      <c r="L4" s="59"/>
      <c r="M4" s="68"/>
    </row>
    <row r="5" spans="1:13" ht="12.75">
      <c r="A5" s="4"/>
      <c r="B5" s="19"/>
      <c r="C5" s="19"/>
      <c r="D5" s="19"/>
      <c r="E5" s="19"/>
      <c r="F5" s="19"/>
      <c r="G5" s="19"/>
      <c r="H5" s="19"/>
      <c r="I5" s="19"/>
      <c r="J5" s="19"/>
      <c r="K5" s="19"/>
      <c r="L5" s="59"/>
      <c r="M5" s="68"/>
    </row>
    <row r="6" spans="1:13" ht="12.75">
      <c r="A6" s="5" t="s">
        <v>3</v>
      </c>
      <c r="B6" s="19"/>
      <c r="C6" s="16" t="s">
        <v>109</v>
      </c>
      <c r="D6" s="32" t="s">
        <v>186</v>
      </c>
      <c r="E6" s="19"/>
      <c r="F6" s="32" t="s">
        <v>6</v>
      </c>
      <c r="G6" s="19"/>
      <c r="H6" s="16" t="s">
        <v>202</v>
      </c>
      <c r="I6" s="32" t="s">
        <v>206</v>
      </c>
      <c r="J6" s="19"/>
      <c r="K6" s="19"/>
      <c r="L6" s="59"/>
      <c r="M6" s="68"/>
    </row>
    <row r="7" spans="1:13" ht="12.75">
      <c r="A7" s="4"/>
      <c r="B7" s="19"/>
      <c r="C7" s="19"/>
      <c r="D7" s="19"/>
      <c r="E7" s="19"/>
      <c r="F7" s="19"/>
      <c r="G7" s="19"/>
      <c r="H7" s="19"/>
      <c r="I7" s="19"/>
      <c r="J7" s="19"/>
      <c r="K7" s="19"/>
      <c r="L7" s="59"/>
      <c r="M7" s="68"/>
    </row>
    <row r="8" spans="1:13" ht="12.75">
      <c r="A8" s="5" t="s">
        <v>4</v>
      </c>
      <c r="B8" s="19"/>
      <c r="C8" s="16" t="s">
        <v>6</v>
      </c>
      <c r="D8" s="32" t="s">
        <v>187</v>
      </c>
      <c r="E8" s="19"/>
      <c r="F8" s="32" t="s">
        <v>188</v>
      </c>
      <c r="G8" s="19"/>
      <c r="H8" s="16" t="s">
        <v>203</v>
      </c>
      <c r="I8" s="32" t="s">
        <v>206</v>
      </c>
      <c r="J8" s="19"/>
      <c r="K8" s="19"/>
      <c r="L8" s="59"/>
      <c r="M8" s="68"/>
    </row>
    <row r="9" spans="1:13" ht="12.75">
      <c r="A9" s="6"/>
      <c r="B9" s="20"/>
      <c r="C9" s="20"/>
      <c r="D9" s="20"/>
      <c r="E9" s="20"/>
      <c r="F9" s="20"/>
      <c r="G9" s="20"/>
      <c r="H9" s="20"/>
      <c r="I9" s="20"/>
      <c r="J9" s="20"/>
      <c r="K9" s="20"/>
      <c r="L9" s="60"/>
      <c r="M9" s="68"/>
    </row>
    <row r="10" spans="1:13" ht="12.75">
      <c r="A10" s="7" t="s">
        <v>5</v>
      </c>
      <c r="B10" s="21" t="s">
        <v>54</v>
      </c>
      <c r="C10" s="28" t="s">
        <v>110</v>
      </c>
      <c r="D10" s="33"/>
      <c r="E10" s="41"/>
      <c r="F10" s="21" t="s">
        <v>189</v>
      </c>
      <c r="G10" s="43" t="s">
        <v>199</v>
      </c>
      <c r="H10" s="48" t="s">
        <v>204</v>
      </c>
      <c r="I10" s="50" t="s">
        <v>207</v>
      </c>
      <c r="J10" s="53"/>
      <c r="K10" s="56"/>
      <c r="L10" s="61" t="s">
        <v>212</v>
      </c>
      <c r="M10" s="69"/>
    </row>
    <row r="11" spans="1:62" ht="12.75">
      <c r="A11" s="8" t="s">
        <v>6</v>
      </c>
      <c r="B11" s="22" t="s">
        <v>6</v>
      </c>
      <c r="C11" s="29" t="s">
        <v>111</v>
      </c>
      <c r="D11" s="34"/>
      <c r="E11" s="42"/>
      <c r="F11" s="22" t="s">
        <v>6</v>
      </c>
      <c r="G11" s="22" t="s">
        <v>6</v>
      </c>
      <c r="H11" s="49" t="s">
        <v>205</v>
      </c>
      <c r="I11" s="51" t="s">
        <v>208</v>
      </c>
      <c r="J11" s="54" t="s">
        <v>210</v>
      </c>
      <c r="K11" s="57" t="s">
        <v>211</v>
      </c>
      <c r="L11" s="62" t="s">
        <v>213</v>
      </c>
      <c r="M11" s="69"/>
      <c r="Z11" s="65" t="s">
        <v>215</v>
      </c>
      <c r="AA11" s="65" t="s">
        <v>216</v>
      </c>
      <c r="AB11" s="65" t="s">
        <v>217</v>
      </c>
      <c r="AC11" s="65" t="s">
        <v>218</v>
      </c>
      <c r="AD11" s="65" t="s">
        <v>219</v>
      </c>
      <c r="AE11" s="65" t="s">
        <v>220</v>
      </c>
      <c r="AF11" s="65" t="s">
        <v>221</v>
      </c>
      <c r="AG11" s="65" t="s">
        <v>222</v>
      </c>
      <c r="AH11" s="65" t="s">
        <v>223</v>
      </c>
      <c r="BH11" s="65" t="s">
        <v>242</v>
      </c>
      <c r="BI11" s="65" t="s">
        <v>243</v>
      </c>
      <c r="BJ11" s="65" t="s">
        <v>244</v>
      </c>
    </row>
    <row r="12" spans="1:47" ht="12.75">
      <c r="A12" s="9"/>
      <c r="B12" s="23" t="s">
        <v>55</v>
      </c>
      <c r="C12" s="23" t="s">
        <v>112</v>
      </c>
      <c r="D12" s="35"/>
      <c r="E12" s="35"/>
      <c r="F12" s="9" t="s">
        <v>6</v>
      </c>
      <c r="G12" s="9" t="s">
        <v>6</v>
      </c>
      <c r="H12" s="9" t="s">
        <v>6</v>
      </c>
      <c r="I12" s="72">
        <f>SUM(I13:I22)</f>
        <v>0</v>
      </c>
      <c r="J12" s="72">
        <f>SUM(J13:J22)</f>
        <v>0</v>
      </c>
      <c r="K12" s="72">
        <f>SUM(K13:K22)</f>
        <v>0</v>
      </c>
      <c r="L12" s="63"/>
      <c r="AI12" s="65"/>
      <c r="AS12" s="73">
        <f>SUM(AJ13:AJ22)</f>
        <v>0</v>
      </c>
      <c r="AT12" s="73">
        <f>SUM(AK13:AK22)</f>
        <v>0</v>
      </c>
      <c r="AU12" s="73">
        <f>SUM(AL13:AL22)</f>
        <v>0</v>
      </c>
    </row>
    <row r="13" spans="1:62" ht="12.75">
      <c r="A13" s="10" t="s">
        <v>7</v>
      </c>
      <c r="B13" s="10" t="s">
        <v>56</v>
      </c>
      <c r="C13" s="10" t="s">
        <v>113</v>
      </c>
      <c r="D13" s="36"/>
      <c r="E13" s="36"/>
      <c r="F13" s="10" t="s">
        <v>190</v>
      </c>
      <c r="G13" s="44">
        <v>0.1</v>
      </c>
      <c r="H13" s="44">
        <v>0</v>
      </c>
      <c r="I13" s="44">
        <f>G13*AO13</f>
        <v>0</v>
      </c>
      <c r="J13" s="44">
        <f>G13*AP13</f>
        <v>0</v>
      </c>
      <c r="K13" s="44">
        <f>G13*H13</f>
        <v>0</v>
      </c>
      <c r="L13" s="64"/>
      <c r="Z13" s="70">
        <f>IF(AQ13="5",BJ13,0)</f>
        <v>0</v>
      </c>
      <c r="AB13" s="70">
        <f>IF(AQ13="1",BH13,0)</f>
        <v>0</v>
      </c>
      <c r="AC13" s="70">
        <f>IF(AQ13="1",BI13,0)</f>
        <v>0</v>
      </c>
      <c r="AD13" s="70">
        <f>IF(AQ13="7",BH13,0)</f>
        <v>0</v>
      </c>
      <c r="AE13" s="70">
        <f>IF(AQ13="7",BI13,0)</f>
        <v>0</v>
      </c>
      <c r="AF13" s="70">
        <f>IF(AQ13="2",BH13,0)</f>
        <v>0</v>
      </c>
      <c r="AG13" s="70">
        <f>IF(AQ13="2",BI13,0)</f>
        <v>0</v>
      </c>
      <c r="AH13" s="70">
        <f>IF(AQ13="0",BJ13,0)</f>
        <v>0</v>
      </c>
      <c r="AI13" s="65"/>
      <c r="AJ13" s="44">
        <f>IF(AN13=0,K13,0)</f>
        <v>0</v>
      </c>
      <c r="AK13" s="44">
        <f>IF(AN13=15,K13,0)</f>
        <v>0</v>
      </c>
      <c r="AL13" s="44">
        <f>IF(AN13=21,K13,0)</f>
        <v>0</v>
      </c>
      <c r="AN13" s="70">
        <v>21</v>
      </c>
      <c r="AO13" s="70">
        <f>H13*0</f>
        <v>0</v>
      </c>
      <c r="AP13" s="70">
        <f>H13*(1-0)</f>
        <v>0</v>
      </c>
      <c r="AQ13" s="64" t="s">
        <v>7</v>
      </c>
      <c r="AV13" s="70">
        <f>AW13+AX13</f>
        <v>0</v>
      </c>
      <c r="AW13" s="70">
        <f>G13*AO13</f>
        <v>0</v>
      </c>
      <c r="AX13" s="70">
        <f>G13*AP13</f>
        <v>0</v>
      </c>
      <c r="AY13" s="71" t="s">
        <v>224</v>
      </c>
      <c r="AZ13" s="71" t="s">
        <v>224</v>
      </c>
      <c r="BA13" s="65" t="s">
        <v>241</v>
      </c>
      <c r="BC13" s="70">
        <f>AW13+AX13</f>
        <v>0</v>
      </c>
      <c r="BD13" s="70">
        <f>H13/(100-BE13)*100</f>
        <v>0</v>
      </c>
      <c r="BE13" s="70">
        <v>0</v>
      </c>
      <c r="BF13" s="70">
        <f>13</f>
        <v>13</v>
      </c>
      <c r="BH13" s="44">
        <f>G13*AO13</f>
        <v>0</v>
      </c>
      <c r="BI13" s="44">
        <f>G13*AP13</f>
        <v>0</v>
      </c>
      <c r="BJ13" s="44">
        <f>G13*H13</f>
        <v>0</v>
      </c>
    </row>
    <row r="14" spans="1:62" ht="12.75">
      <c r="A14" s="10" t="s">
        <v>8</v>
      </c>
      <c r="B14" s="10" t="s">
        <v>57</v>
      </c>
      <c r="C14" s="10" t="s">
        <v>114</v>
      </c>
      <c r="D14" s="36"/>
      <c r="E14" s="36"/>
      <c r="F14" s="10" t="s">
        <v>190</v>
      </c>
      <c r="G14" s="44">
        <v>0.2</v>
      </c>
      <c r="H14" s="44">
        <v>0</v>
      </c>
      <c r="I14" s="44">
        <f>G14*AO14</f>
        <v>0</v>
      </c>
      <c r="J14" s="44">
        <f>G14*AP14</f>
        <v>0</v>
      </c>
      <c r="K14" s="44">
        <f>G14*H14</f>
        <v>0</v>
      </c>
      <c r="L14" s="64"/>
      <c r="Z14" s="70">
        <f>IF(AQ14="5",BJ14,0)</f>
        <v>0</v>
      </c>
      <c r="AB14" s="70">
        <f>IF(AQ14="1",BH14,0)</f>
        <v>0</v>
      </c>
      <c r="AC14" s="70">
        <f>IF(AQ14="1",BI14,0)</f>
        <v>0</v>
      </c>
      <c r="AD14" s="70">
        <f>IF(AQ14="7",BH14,0)</f>
        <v>0</v>
      </c>
      <c r="AE14" s="70">
        <f>IF(AQ14="7",BI14,0)</f>
        <v>0</v>
      </c>
      <c r="AF14" s="70">
        <f>IF(AQ14="2",BH14,0)</f>
        <v>0</v>
      </c>
      <c r="AG14" s="70">
        <f>IF(AQ14="2",BI14,0)</f>
        <v>0</v>
      </c>
      <c r="AH14" s="70">
        <f>IF(AQ14="0",BJ14,0)</f>
        <v>0</v>
      </c>
      <c r="AI14" s="65"/>
      <c r="AJ14" s="44">
        <f>IF(AN14=0,K14,0)</f>
        <v>0</v>
      </c>
      <c r="AK14" s="44">
        <f>IF(AN14=15,K14,0)</f>
        <v>0</v>
      </c>
      <c r="AL14" s="44">
        <f>IF(AN14=21,K14,0)</f>
        <v>0</v>
      </c>
      <c r="AN14" s="70">
        <v>21</v>
      </c>
      <c r="AO14" s="70">
        <f>H14*0</f>
        <v>0</v>
      </c>
      <c r="AP14" s="70">
        <f>H14*(1-0)</f>
        <v>0</v>
      </c>
      <c r="AQ14" s="64" t="s">
        <v>7</v>
      </c>
      <c r="AV14" s="70">
        <f>AW14+AX14</f>
        <v>0</v>
      </c>
      <c r="AW14" s="70">
        <f>G14*AO14</f>
        <v>0</v>
      </c>
      <c r="AX14" s="70">
        <f>G14*AP14</f>
        <v>0</v>
      </c>
      <c r="AY14" s="71" t="s">
        <v>224</v>
      </c>
      <c r="AZ14" s="71" t="s">
        <v>224</v>
      </c>
      <c r="BA14" s="65" t="s">
        <v>241</v>
      </c>
      <c r="BC14" s="70">
        <f>AW14+AX14</f>
        <v>0</v>
      </c>
      <c r="BD14" s="70">
        <f>H14/(100-BE14)*100</f>
        <v>0</v>
      </c>
      <c r="BE14" s="70">
        <v>0</v>
      </c>
      <c r="BF14" s="70">
        <f>14</f>
        <v>14</v>
      </c>
      <c r="BH14" s="44">
        <f>G14*AO14</f>
        <v>0</v>
      </c>
      <c r="BI14" s="44">
        <f>G14*AP14</f>
        <v>0</v>
      </c>
      <c r="BJ14" s="44">
        <f>G14*H14</f>
        <v>0</v>
      </c>
    </row>
    <row r="15" spans="1:62" ht="12.75">
      <c r="A15" s="10" t="s">
        <v>9</v>
      </c>
      <c r="B15" s="10" t="s">
        <v>58</v>
      </c>
      <c r="C15" s="10" t="s">
        <v>115</v>
      </c>
      <c r="D15" s="36"/>
      <c r="E15" s="36"/>
      <c r="F15" s="10" t="s">
        <v>190</v>
      </c>
      <c r="G15" s="44">
        <v>0.1</v>
      </c>
      <c r="H15" s="44">
        <v>0</v>
      </c>
      <c r="I15" s="44">
        <f>G15*AO15</f>
        <v>0</v>
      </c>
      <c r="J15" s="44">
        <f>G15*AP15</f>
        <v>0</v>
      </c>
      <c r="K15" s="44">
        <f>G15*H15</f>
        <v>0</v>
      </c>
      <c r="L15" s="64"/>
      <c r="Z15" s="70">
        <f>IF(AQ15="5",BJ15,0)</f>
        <v>0</v>
      </c>
      <c r="AB15" s="70">
        <f>IF(AQ15="1",BH15,0)</f>
        <v>0</v>
      </c>
      <c r="AC15" s="70">
        <f>IF(AQ15="1",BI15,0)</f>
        <v>0</v>
      </c>
      <c r="AD15" s="70">
        <f>IF(AQ15="7",BH15,0)</f>
        <v>0</v>
      </c>
      <c r="AE15" s="70">
        <f>IF(AQ15="7",BI15,0)</f>
        <v>0</v>
      </c>
      <c r="AF15" s="70">
        <f>IF(AQ15="2",BH15,0)</f>
        <v>0</v>
      </c>
      <c r="AG15" s="70">
        <f>IF(AQ15="2",BI15,0)</f>
        <v>0</v>
      </c>
      <c r="AH15" s="70">
        <f>IF(AQ15="0",BJ15,0)</f>
        <v>0</v>
      </c>
      <c r="AI15" s="65"/>
      <c r="AJ15" s="44">
        <f>IF(AN15=0,K15,0)</f>
        <v>0</v>
      </c>
      <c r="AK15" s="44">
        <f>IF(AN15=15,K15,0)</f>
        <v>0</v>
      </c>
      <c r="AL15" s="44">
        <f>IF(AN15=21,K15,0)</f>
        <v>0</v>
      </c>
      <c r="AN15" s="70">
        <v>21</v>
      </c>
      <c r="AO15" s="70">
        <f>H15*0</f>
        <v>0</v>
      </c>
      <c r="AP15" s="70">
        <f>H15*(1-0)</f>
        <v>0</v>
      </c>
      <c r="AQ15" s="64" t="s">
        <v>7</v>
      </c>
      <c r="AV15" s="70">
        <f>AW15+AX15</f>
        <v>0</v>
      </c>
      <c r="AW15" s="70">
        <f>G15*AO15</f>
        <v>0</v>
      </c>
      <c r="AX15" s="70">
        <f>G15*AP15</f>
        <v>0</v>
      </c>
      <c r="AY15" s="71" t="s">
        <v>224</v>
      </c>
      <c r="AZ15" s="71" t="s">
        <v>224</v>
      </c>
      <c r="BA15" s="65" t="s">
        <v>241</v>
      </c>
      <c r="BC15" s="70">
        <f>AW15+AX15</f>
        <v>0</v>
      </c>
      <c r="BD15" s="70">
        <f>H15/(100-BE15)*100</f>
        <v>0</v>
      </c>
      <c r="BE15" s="70">
        <v>0</v>
      </c>
      <c r="BF15" s="70">
        <f>15</f>
        <v>15</v>
      </c>
      <c r="BH15" s="44">
        <f>G15*AO15</f>
        <v>0</v>
      </c>
      <c r="BI15" s="44">
        <f>G15*AP15</f>
        <v>0</v>
      </c>
      <c r="BJ15" s="44">
        <f>G15*H15</f>
        <v>0</v>
      </c>
    </row>
    <row r="16" spans="1:62" ht="12.75">
      <c r="A16" s="10" t="s">
        <v>10</v>
      </c>
      <c r="B16" s="10" t="s">
        <v>59</v>
      </c>
      <c r="C16" s="10" t="s">
        <v>116</v>
      </c>
      <c r="D16" s="36"/>
      <c r="E16" s="36"/>
      <c r="F16" s="10" t="s">
        <v>190</v>
      </c>
      <c r="G16" s="44">
        <v>0.25</v>
      </c>
      <c r="H16" s="44">
        <v>0</v>
      </c>
      <c r="I16" s="44">
        <f>G16*AO16</f>
        <v>0</v>
      </c>
      <c r="J16" s="44">
        <f>G16*AP16</f>
        <v>0</v>
      </c>
      <c r="K16" s="44">
        <f>G16*H16</f>
        <v>0</v>
      </c>
      <c r="L16" s="64"/>
      <c r="Z16" s="70">
        <f>IF(AQ16="5",BJ16,0)</f>
        <v>0</v>
      </c>
      <c r="AB16" s="70">
        <f>IF(AQ16="1",BH16,0)</f>
        <v>0</v>
      </c>
      <c r="AC16" s="70">
        <f>IF(AQ16="1",BI16,0)</f>
        <v>0</v>
      </c>
      <c r="AD16" s="70">
        <f>IF(AQ16="7",BH16,0)</f>
        <v>0</v>
      </c>
      <c r="AE16" s="70">
        <f>IF(AQ16="7",BI16,0)</f>
        <v>0</v>
      </c>
      <c r="AF16" s="70">
        <f>IF(AQ16="2",BH16,0)</f>
        <v>0</v>
      </c>
      <c r="AG16" s="70">
        <f>IF(AQ16="2",BI16,0)</f>
        <v>0</v>
      </c>
      <c r="AH16" s="70">
        <f>IF(AQ16="0",BJ16,0)</f>
        <v>0</v>
      </c>
      <c r="AI16" s="65"/>
      <c r="AJ16" s="44">
        <f>IF(AN16=0,K16,0)</f>
        <v>0</v>
      </c>
      <c r="AK16" s="44">
        <f>IF(AN16=15,K16,0)</f>
        <v>0</v>
      </c>
      <c r="AL16" s="44">
        <f>IF(AN16=21,K16,0)</f>
        <v>0</v>
      </c>
      <c r="AN16" s="70">
        <v>21</v>
      </c>
      <c r="AO16" s="70">
        <f>H16*1</f>
        <v>0</v>
      </c>
      <c r="AP16" s="70">
        <f>H16*(1-1)</f>
        <v>0</v>
      </c>
      <c r="AQ16" s="64" t="s">
        <v>7</v>
      </c>
      <c r="AV16" s="70">
        <f>AW16+AX16</f>
        <v>0</v>
      </c>
      <c r="AW16" s="70">
        <f>G16*AO16</f>
        <v>0</v>
      </c>
      <c r="AX16" s="70">
        <f>G16*AP16</f>
        <v>0</v>
      </c>
      <c r="AY16" s="71" t="s">
        <v>224</v>
      </c>
      <c r="AZ16" s="71" t="s">
        <v>224</v>
      </c>
      <c r="BA16" s="65" t="s">
        <v>241</v>
      </c>
      <c r="BC16" s="70">
        <f>AW16+AX16</f>
        <v>0</v>
      </c>
      <c r="BD16" s="70">
        <f>H16/(100-BE16)*100</f>
        <v>0</v>
      </c>
      <c r="BE16" s="70">
        <v>0</v>
      </c>
      <c r="BF16" s="70">
        <f>16</f>
        <v>16</v>
      </c>
      <c r="BH16" s="44">
        <f>G16*AO16</f>
        <v>0</v>
      </c>
      <c r="BI16" s="44">
        <f>G16*AP16</f>
        <v>0</v>
      </c>
      <c r="BJ16" s="44">
        <f>G16*H16</f>
        <v>0</v>
      </c>
    </row>
    <row r="17" spans="1:62" ht="12.75">
      <c r="A17" s="10" t="s">
        <v>11</v>
      </c>
      <c r="B17" s="10" t="s">
        <v>60</v>
      </c>
      <c r="C17" s="10" t="s">
        <v>117</v>
      </c>
      <c r="D17" s="36"/>
      <c r="E17" s="36"/>
      <c r="F17" s="10" t="s">
        <v>191</v>
      </c>
      <c r="G17" s="44">
        <v>0.1</v>
      </c>
      <c r="H17" s="44">
        <v>0</v>
      </c>
      <c r="I17" s="44">
        <f>G17*AO17</f>
        <v>0</v>
      </c>
      <c r="J17" s="44">
        <f>G17*AP17</f>
        <v>0</v>
      </c>
      <c r="K17" s="44">
        <f>G17*H17</f>
        <v>0</v>
      </c>
      <c r="L17" s="64"/>
      <c r="Z17" s="70">
        <f>IF(AQ17="5",BJ17,0)</f>
        <v>0</v>
      </c>
      <c r="AB17" s="70">
        <f>IF(AQ17="1",BH17,0)</f>
        <v>0</v>
      </c>
      <c r="AC17" s="70">
        <f>IF(AQ17="1",BI17,0)</f>
        <v>0</v>
      </c>
      <c r="AD17" s="70">
        <f>IF(AQ17="7",BH17,0)</f>
        <v>0</v>
      </c>
      <c r="AE17" s="70">
        <f>IF(AQ17="7",BI17,0)</f>
        <v>0</v>
      </c>
      <c r="AF17" s="70">
        <f>IF(AQ17="2",BH17,0)</f>
        <v>0</v>
      </c>
      <c r="AG17" s="70">
        <f>IF(AQ17="2",BI17,0)</f>
        <v>0</v>
      </c>
      <c r="AH17" s="70">
        <f>IF(AQ17="0",BJ17,0)</f>
        <v>0</v>
      </c>
      <c r="AI17" s="65"/>
      <c r="AJ17" s="44">
        <f>IF(AN17=0,K17,0)</f>
        <v>0</v>
      </c>
      <c r="AK17" s="44">
        <f>IF(AN17=15,K17,0)</f>
        <v>0</v>
      </c>
      <c r="AL17" s="44">
        <f>IF(AN17=21,K17,0)</f>
        <v>0</v>
      </c>
      <c r="AN17" s="70">
        <v>21</v>
      </c>
      <c r="AO17" s="70">
        <f>H17*0.25</f>
        <v>0</v>
      </c>
      <c r="AP17" s="70">
        <f>H17*(1-0.25)</f>
        <v>0</v>
      </c>
      <c r="AQ17" s="64" t="s">
        <v>7</v>
      </c>
      <c r="AV17" s="70">
        <f>AW17+AX17</f>
        <v>0</v>
      </c>
      <c r="AW17" s="70">
        <f>G17*AO17</f>
        <v>0</v>
      </c>
      <c r="AX17" s="70">
        <f>G17*AP17</f>
        <v>0</v>
      </c>
      <c r="AY17" s="71" t="s">
        <v>224</v>
      </c>
      <c r="AZ17" s="71" t="s">
        <v>224</v>
      </c>
      <c r="BA17" s="65" t="s">
        <v>241</v>
      </c>
      <c r="BC17" s="70">
        <f>AW17+AX17</f>
        <v>0</v>
      </c>
      <c r="BD17" s="70">
        <f>H17/(100-BE17)*100</f>
        <v>0</v>
      </c>
      <c r="BE17" s="70">
        <v>0</v>
      </c>
      <c r="BF17" s="70">
        <f>17</f>
        <v>17</v>
      </c>
      <c r="BH17" s="44">
        <f>G17*AO17</f>
        <v>0</v>
      </c>
      <c r="BI17" s="44">
        <f>G17*AP17</f>
        <v>0</v>
      </c>
      <c r="BJ17" s="44">
        <f>G17*H17</f>
        <v>0</v>
      </c>
    </row>
    <row r="18" spans="1:62" ht="12.75">
      <c r="A18" s="10" t="s">
        <v>12</v>
      </c>
      <c r="B18" s="10" t="s">
        <v>61</v>
      </c>
      <c r="C18" s="10" t="s">
        <v>118</v>
      </c>
      <c r="D18" s="36"/>
      <c r="E18" s="36"/>
      <c r="F18" s="10" t="s">
        <v>190</v>
      </c>
      <c r="G18" s="44">
        <v>0.1</v>
      </c>
      <c r="H18" s="44">
        <v>0</v>
      </c>
      <c r="I18" s="44">
        <f>G18*AO18</f>
        <v>0</v>
      </c>
      <c r="J18" s="44">
        <f>G18*AP18</f>
        <v>0</v>
      </c>
      <c r="K18" s="44">
        <f>G18*H18</f>
        <v>0</v>
      </c>
      <c r="L18" s="64"/>
      <c r="Z18" s="70">
        <f>IF(AQ18="5",BJ18,0)</f>
        <v>0</v>
      </c>
      <c r="AB18" s="70">
        <f>IF(AQ18="1",BH18,0)</f>
        <v>0</v>
      </c>
      <c r="AC18" s="70">
        <f>IF(AQ18="1",BI18,0)</f>
        <v>0</v>
      </c>
      <c r="AD18" s="70">
        <f>IF(AQ18="7",BH18,0)</f>
        <v>0</v>
      </c>
      <c r="AE18" s="70">
        <f>IF(AQ18="7",BI18,0)</f>
        <v>0</v>
      </c>
      <c r="AF18" s="70">
        <f>IF(AQ18="2",BH18,0)</f>
        <v>0</v>
      </c>
      <c r="AG18" s="70">
        <f>IF(AQ18="2",BI18,0)</f>
        <v>0</v>
      </c>
      <c r="AH18" s="70">
        <f>IF(AQ18="0",BJ18,0)</f>
        <v>0</v>
      </c>
      <c r="AI18" s="65"/>
      <c r="AJ18" s="44">
        <f>IF(AN18=0,K18,0)</f>
        <v>0</v>
      </c>
      <c r="AK18" s="44">
        <f>IF(AN18=15,K18,0)</f>
        <v>0</v>
      </c>
      <c r="AL18" s="44">
        <f>IF(AN18=21,K18,0)</f>
        <v>0</v>
      </c>
      <c r="AN18" s="70">
        <v>21</v>
      </c>
      <c r="AO18" s="70">
        <f>H18*0</f>
        <v>0</v>
      </c>
      <c r="AP18" s="70">
        <f>H18*(1-0)</f>
        <v>0</v>
      </c>
      <c r="AQ18" s="64" t="s">
        <v>7</v>
      </c>
      <c r="AV18" s="70">
        <f>AW18+AX18</f>
        <v>0</v>
      </c>
      <c r="AW18" s="70">
        <f>G18*AO18</f>
        <v>0</v>
      </c>
      <c r="AX18" s="70">
        <f>G18*AP18</f>
        <v>0</v>
      </c>
      <c r="AY18" s="71" t="s">
        <v>224</v>
      </c>
      <c r="AZ18" s="71" t="s">
        <v>224</v>
      </c>
      <c r="BA18" s="65" t="s">
        <v>241</v>
      </c>
      <c r="BC18" s="70">
        <f>AW18+AX18</f>
        <v>0</v>
      </c>
      <c r="BD18" s="70">
        <f>H18/(100-BE18)*100</f>
        <v>0</v>
      </c>
      <c r="BE18" s="70">
        <v>0</v>
      </c>
      <c r="BF18" s="70">
        <f>18</f>
        <v>18</v>
      </c>
      <c r="BH18" s="44">
        <f>G18*AO18</f>
        <v>0</v>
      </c>
      <c r="BI18" s="44">
        <f>G18*AP18</f>
        <v>0</v>
      </c>
      <c r="BJ18" s="44">
        <f>G18*H18</f>
        <v>0</v>
      </c>
    </row>
    <row r="19" spans="1:62" ht="12.75">
      <c r="A19" s="10" t="s">
        <v>13</v>
      </c>
      <c r="B19" s="10" t="s">
        <v>62</v>
      </c>
      <c r="C19" s="10" t="s">
        <v>119</v>
      </c>
      <c r="D19" s="36"/>
      <c r="E19" s="36"/>
      <c r="F19" s="10" t="s">
        <v>190</v>
      </c>
      <c r="G19" s="44">
        <v>0.2</v>
      </c>
      <c r="H19" s="44">
        <v>0</v>
      </c>
      <c r="I19" s="44">
        <f>G19*AO19</f>
        <v>0</v>
      </c>
      <c r="J19" s="44">
        <f>G19*AP19</f>
        <v>0</v>
      </c>
      <c r="K19" s="44">
        <f>G19*H19</f>
        <v>0</v>
      </c>
      <c r="L19" s="64"/>
      <c r="Z19" s="70">
        <f>IF(AQ19="5",BJ19,0)</f>
        <v>0</v>
      </c>
      <c r="AB19" s="70">
        <f>IF(AQ19="1",BH19,0)</f>
        <v>0</v>
      </c>
      <c r="AC19" s="70">
        <f>IF(AQ19="1",BI19,0)</f>
        <v>0</v>
      </c>
      <c r="AD19" s="70">
        <f>IF(AQ19="7",BH19,0)</f>
        <v>0</v>
      </c>
      <c r="AE19" s="70">
        <f>IF(AQ19="7",BI19,0)</f>
        <v>0</v>
      </c>
      <c r="AF19" s="70">
        <f>IF(AQ19="2",BH19,0)</f>
        <v>0</v>
      </c>
      <c r="AG19" s="70">
        <f>IF(AQ19="2",BI19,0)</f>
        <v>0</v>
      </c>
      <c r="AH19" s="70">
        <f>IF(AQ19="0",BJ19,0)</f>
        <v>0</v>
      </c>
      <c r="AI19" s="65"/>
      <c r="AJ19" s="44">
        <f>IF(AN19=0,K19,0)</f>
        <v>0</v>
      </c>
      <c r="AK19" s="44">
        <f>IF(AN19=15,K19,0)</f>
        <v>0</v>
      </c>
      <c r="AL19" s="44">
        <f>IF(AN19=21,K19,0)</f>
        <v>0</v>
      </c>
      <c r="AN19" s="70">
        <v>21</v>
      </c>
      <c r="AO19" s="70">
        <f>H19*0.4</f>
        <v>0</v>
      </c>
      <c r="AP19" s="70">
        <f>H19*(1-0.4)</f>
        <v>0</v>
      </c>
      <c r="AQ19" s="64" t="s">
        <v>7</v>
      </c>
      <c r="AV19" s="70">
        <f>AW19+AX19</f>
        <v>0</v>
      </c>
      <c r="AW19" s="70">
        <f>G19*AO19</f>
        <v>0</v>
      </c>
      <c r="AX19" s="70">
        <f>G19*AP19</f>
        <v>0</v>
      </c>
      <c r="AY19" s="71" t="s">
        <v>224</v>
      </c>
      <c r="AZ19" s="71" t="s">
        <v>224</v>
      </c>
      <c r="BA19" s="65" t="s">
        <v>241</v>
      </c>
      <c r="BC19" s="70">
        <f>AW19+AX19</f>
        <v>0</v>
      </c>
      <c r="BD19" s="70">
        <f>H19/(100-BE19)*100</f>
        <v>0</v>
      </c>
      <c r="BE19" s="70">
        <v>0</v>
      </c>
      <c r="BF19" s="70">
        <f>19</f>
        <v>19</v>
      </c>
      <c r="BH19" s="44">
        <f>G19*AO19</f>
        <v>0</v>
      </c>
      <c r="BI19" s="44">
        <f>G19*AP19</f>
        <v>0</v>
      </c>
      <c r="BJ19" s="44">
        <f>G19*H19</f>
        <v>0</v>
      </c>
    </row>
    <row r="20" spans="1:62" ht="12.75">
      <c r="A20" s="10" t="s">
        <v>14</v>
      </c>
      <c r="B20" s="10" t="s">
        <v>63</v>
      </c>
      <c r="C20" s="10" t="s">
        <v>120</v>
      </c>
      <c r="D20" s="36"/>
      <c r="E20" s="36"/>
      <c r="F20" s="10" t="s">
        <v>190</v>
      </c>
      <c r="G20" s="44">
        <v>0.2</v>
      </c>
      <c r="H20" s="44">
        <v>0</v>
      </c>
      <c r="I20" s="44">
        <f>G20*AO20</f>
        <v>0</v>
      </c>
      <c r="J20" s="44">
        <f>G20*AP20</f>
        <v>0</v>
      </c>
      <c r="K20" s="44">
        <f>G20*H20</f>
        <v>0</v>
      </c>
      <c r="L20" s="64"/>
      <c r="Z20" s="70">
        <f>IF(AQ20="5",BJ20,0)</f>
        <v>0</v>
      </c>
      <c r="AB20" s="70">
        <f>IF(AQ20="1",BH20,0)</f>
        <v>0</v>
      </c>
      <c r="AC20" s="70">
        <f>IF(AQ20="1",BI20,0)</f>
        <v>0</v>
      </c>
      <c r="AD20" s="70">
        <f>IF(AQ20="7",BH20,0)</f>
        <v>0</v>
      </c>
      <c r="AE20" s="70">
        <f>IF(AQ20="7",BI20,0)</f>
        <v>0</v>
      </c>
      <c r="AF20" s="70">
        <f>IF(AQ20="2",BH20,0)</f>
        <v>0</v>
      </c>
      <c r="AG20" s="70">
        <f>IF(AQ20="2",BI20,0)</f>
        <v>0</v>
      </c>
      <c r="AH20" s="70">
        <f>IF(AQ20="0",BJ20,0)</f>
        <v>0</v>
      </c>
      <c r="AI20" s="65"/>
      <c r="AJ20" s="44">
        <f>IF(AN20=0,K20,0)</f>
        <v>0</v>
      </c>
      <c r="AK20" s="44">
        <f>IF(AN20=15,K20,0)</f>
        <v>0</v>
      </c>
      <c r="AL20" s="44">
        <f>IF(AN20=21,K20,0)</f>
        <v>0</v>
      </c>
      <c r="AN20" s="70">
        <v>21</v>
      </c>
      <c r="AO20" s="70">
        <f>H20*0.5</f>
        <v>0</v>
      </c>
      <c r="AP20" s="70">
        <f>H20*(1-0.5)</f>
        <v>0</v>
      </c>
      <c r="AQ20" s="64" t="s">
        <v>7</v>
      </c>
      <c r="AV20" s="70">
        <f>AW20+AX20</f>
        <v>0</v>
      </c>
      <c r="AW20" s="70">
        <f>G20*AO20</f>
        <v>0</v>
      </c>
      <c r="AX20" s="70">
        <f>G20*AP20</f>
        <v>0</v>
      </c>
      <c r="AY20" s="71" t="s">
        <v>224</v>
      </c>
      <c r="AZ20" s="71" t="s">
        <v>224</v>
      </c>
      <c r="BA20" s="65" t="s">
        <v>241</v>
      </c>
      <c r="BC20" s="70">
        <f>AW20+AX20</f>
        <v>0</v>
      </c>
      <c r="BD20" s="70">
        <f>H20/(100-BE20)*100</f>
        <v>0</v>
      </c>
      <c r="BE20" s="70">
        <v>0</v>
      </c>
      <c r="BF20" s="70">
        <f>20</f>
        <v>20</v>
      </c>
      <c r="BH20" s="44">
        <f>G20*AO20</f>
        <v>0</v>
      </c>
      <c r="BI20" s="44">
        <f>G20*AP20</f>
        <v>0</v>
      </c>
      <c r="BJ20" s="44">
        <f>G20*H20</f>
        <v>0</v>
      </c>
    </row>
    <row r="21" spans="1:62" ht="12.75">
      <c r="A21" s="10" t="s">
        <v>15</v>
      </c>
      <c r="B21" s="10" t="s">
        <v>64</v>
      </c>
      <c r="C21" s="10" t="s">
        <v>121</v>
      </c>
      <c r="D21" s="36"/>
      <c r="E21" s="36"/>
      <c r="F21" s="10" t="s">
        <v>190</v>
      </c>
      <c r="G21" s="44">
        <v>0.2</v>
      </c>
      <c r="H21" s="44">
        <v>0</v>
      </c>
      <c r="I21" s="44">
        <f>G21*AO21</f>
        <v>0</v>
      </c>
      <c r="J21" s="44">
        <f>G21*AP21</f>
        <v>0</v>
      </c>
      <c r="K21" s="44">
        <f>G21*H21</f>
        <v>0</v>
      </c>
      <c r="L21" s="64"/>
      <c r="Z21" s="70">
        <f>IF(AQ21="5",BJ21,0)</f>
        <v>0</v>
      </c>
      <c r="AB21" s="70">
        <f>IF(AQ21="1",BH21,0)</f>
        <v>0</v>
      </c>
      <c r="AC21" s="70">
        <f>IF(AQ21="1",BI21,0)</f>
        <v>0</v>
      </c>
      <c r="AD21" s="70">
        <f>IF(AQ21="7",BH21,0)</f>
        <v>0</v>
      </c>
      <c r="AE21" s="70">
        <f>IF(AQ21="7",BI21,0)</f>
        <v>0</v>
      </c>
      <c r="AF21" s="70">
        <f>IF(AQ21="2",BH21,0)</f>
        <v>0</v>
      </c>
      <c r="AG21" s="70">
        <f>IF(AQ21="2",BI21,0)</f>
        <v>0</v>
      </c>
      <c r="AH21" s="70">
        <f>IF(AQ21="0",BJ21,0)</f>
        <v>0</v>
      </c>
      <c r="AI21" s="65"/>
      <c r="AJ21" s="44">
        <f>IF(AN21=0,K21,0)</f>
        <v>0</v>
      </c>
      <c r="AK21" s="44">
        <f>IF(AN21=15,K21,0)</f>
        <v>0</v>
      </c>
      <c r="AL21" s="44">
        <f>IF(AN21=21,K21,0)</f>
        <v>0</v>
      </c>
      <c r="AN21" s="70">
        <v>21</v>
      </c>
      <c r="AO21" s="70">
        <f>H21*0</f>
        <v>0</v>
      </c>
      <c r="AP21" s="70">
        <f>H21*(1-0)</f>
        <v>0</v>
      </c>
      <c r="AQ21" s="64" t="s">
        <v>7</v>
      </c>
      <c r="AV21" s="70">
        <f>AW21+AX21</f>
        <v>0</v>
      </c>
      <c r="AW21" s="70">
        <f>G21*AO21</f>
        <v>0</v>
      </c>
      <c r="AX21" s="70">
        <f>G21*AP21</f>
        <v>0</v>
      </c>
      <c r="AY21" s="71" t="s">
        <v>224</v>
      </c>
      <c r="AZ21" s="71" t="s">
        <v>224</v>
      </c>
      <c r="BA21" s="65" t="s">
        <v>241</v>
      </c>
      <c r="BC21" s="70">
        <f>AW21+AX21</f>
        <v>0</v>
      </c>
      <c r="BD21" s="70">
        <f>H21/(100-BE21)*100</f>
        <v>0</v>
      </c>
      <c r="BE21" s="70">
        <v>0</v>
      </c>
      <c r="BF21" s="70">
        <f>21</f>
        <v>21</v>
      </c>
      <c r="BH21" s="44">
        <f>G21*AO21</f>
        <v>0</v>
      </c>
      <c r="BI21" s="44">
        <f>G21*AP21</f>
        <v>0</v>
      </c>
      <c r="BJ21" s="44">
        <f>G21*H21</f>
        <v>0</v>
      </c>
    </row>
    <row r="22" spans="1:62" ht="12.75">
      <c r="A22" s="10" t="s">
        <v>16</v>
      </c>
      <c r="B22" s="10" t="s">
        <v>65</v>
      </c>
      <c r="C22" s="10" t="s">
        <v>122</v>
      </c>
      <c r="D22" s="36"/>
      <c r="E22" s="36"/>
      <c r="F22" s="10" t="s">
        <v>190</v>
      </c>
      <c r="G22" s="44">
        <v>0.15</v>
      </c>
      <c r="H22" s="44">
        <v>0</v>
      </c>
      <c r="I22" s="44">
        <f>G22*AO22</f>
        <v>0</v>
      </c>
      <c r="J22" s="44">
        <f>G22*AP22</f>
        <v>0</v>
      </c>
      <c r="K22" s="44">
        <f>G22*H22</f>
        <v>0</v>
      </c>
      <c r="L22" s="64"/>
      <c r="Z22" s="70">
        <f>IF(AQ22="5",BJ22,0)</f>
        <v>0</v>
      </c>
      <c r="AB22" s="70">
        <f>IF(AQ22="1",BH22,0)</f>
        <v>0</v>
      </c>
      <c r="AC22" s="70">
        <f>IF(AQ22="1",BI22,0)</f>
        <v>0</v>
      </c>
      <c r="AD22" s="70">
        <f>IF(AQ22="7",BH22,0)</f>
        <v>0</v>
      </c>
      <c r="AE22" s="70">
        <f>IF(AQ22="7",BI22,0)</f>
        <v>0</v>
      </c>
      <c r="AF22" s="70">
        <f>IF(AQ22="2",BH22,0)</f>
        <v>0</v>
      </c>
      <c r="AG22" s="70">
        <f>IF(AQ22="2",BI22,0)</f>
        <v>0</v>
      </c>
      <c r="AH22" s="70">
        <f>IF(AQ22="0",BJ22,0)</f>
        <v>0</v>
      </c>
      <c r="AI22" s="65"/>
      <c r="AJ22" s="44">
        <f>IF(AN22=0,K22,0)</f>
        <v>0</v>
      </c>
      <c r="AK22" s="44">
        <f>IF(AN22=15,K22,0)</f>
        <v>0</v>
      </c>
      <c r="AL22" s="44">
        <f>IF(AN22=21,K22,0)</f>
        <v>0</v>
      </c>
      <c r="AN22" s="70">
        <v>21</v>
      </c>
      <c r="AO22" s="70">
        <f>H22*0</f>
        <v>0</v>
      </c>
      <c r="AP22" s="70">
        <f>H22*(1-0)</f>
        <v>0</v>
      </c>
      <c r="AQ22" s="64" t="s">
        <v>7</v>
      </c>
      <c r="AV22" s="70">
        <f>AW22+AX22</f>
        <v>0</v>
      </c>
      <c r="AW22" s="70">
        <f>G22*AO22</f>
        <v>0</v>
      </c>
      <c r="AX22" s="70">
        <f>G22*AP22</f>
        <v>0</v>
      </c>
      <c r="AY22" s="71" t="s">
        <v>224</v>
      </c>
      <c r="AZ22" s="71" t="s">
        <v>224</v>
      </c>
      <c r="BA22" s="65" t="s">
        <v>241</v>
      </c>
      <c r="BC22" s="70">
        <f>AW22+AX22</f>
        <v>0</v>
      </c>
      <c r="BD22" s="70">
        <f>H22/(100-BE22)*100</f>
        <v>0</v>
      </c>
      <c r="BE22" s="70">
        <v>0</v>
      </c>
      <c r="BF22" s="70">
        <f>22</f>
        <v>22</v>
      </c>
      <c r="BH22" s="44">
        <f>G22*AO22</f>
        <v>0</v>
      </c>
      <c r="BI22" s="44">
        <f>G22*AP22</f>
        <v>0</v>
      </c>
      <c r="BJ22" s="44">
        <f>G22*H22</f>
        <v>0</v>
      </c>
    </row>
    <row r="23" spans="1:47" ht="12.75">
      <c r="A23" s="11"/>
      <c r="B23" s="24" t="s">
        <v>17</v>
      </c>
      <c r="C23" s="24" t="s">
        <v>123</v>
      </c>
      <c r="D23" s="37"/>
      <c r="E23" s="37"/>
      <c r="F23" s="11" t="s">
        <v>6</v>
      </c>
      <c r="G23" s="11" t="s">
        <v>6</v>
      </c>
      <c r="H23" s="11" t="s">
        <v>6</v>
      </c>
      <c r="I23" s="73">
        <f>SUM(I24:I31)</f>
        <v>0</v>
      </c>
      <c r="J23" s="73">
        <f>SUM(J24:J31)</f>
        <v>0</v>
      </c>
      <c r="K23" s="73">
        <f>SUM(K24:K31)</f>
        <v>0</v>
      </c>
      <c r="L23" s="65"/>
      <c r="AI23" s="65"/>
      <c r="AS23" s="73">
        <f>SUM(AJ24:AJ31)</f>
        <v>0</v>
      </c>
      <c r="AT23" s="73">
        <f>SUM(AK24:AK31)</f>
        <v>0</v>
      </c>
      <c r="AU23" s="73">
        <f>SUM(AL24:AL31)</f>
        <v>0</v>
      </c>
    </row>
    <row r="24" spans="1:62" ht="12.75">
      <c r="A24" s="10" t="s">
        <v>17</v>
      </c>
      <c r="B24" s="10" t="s">
        <v>66</v>
      </c>
      <c r="C24" s="10" t="s">
        <v>124</v>
      </c>
      <c r="D24" s="36"/>
      <c r="E24" s="36"/>
      <c r="F24" s="10" t="s">
        <v>192</v>
      </c>
      <c r="G24" s="44">
        <v>0.0325</v>
      </c>
      <c r="H24" s="44">
        <v>0</v>
      </c>
      <c r="I24" s="44">
        <f>G24*AO24</f>
        <v>0</v>
      </c>
      <c r="J24" s="44">
        <f>G24*AP24</f>
        <v>0</v>
      </c>
      <c r="K24" s="44">
        <f>G24*H24</f>
        <v>0</v>
      </c>
      <c r="L24" s="64" t="s">
        <v>214</v>
      </c>
      <c r="Z24" s="70">
        <f>IF(AQ24="5",BJ24,0)</f>
        <v>0</v>
      </c>
      <c r="AB24" s="70">
        <f>IF(AQ24="1",BH24,0)</f>
        <v>0</v>
      </c>
      <c r="AC24" s="70">
        <f>IF(AQ24="1",BI24,0)</f>
        <v>0</v>
      </c>
      <c r="AD24" s="70">
        <f>IF(AQ24="7",BH24,0)</f>
        <v>0</v>
      </c>
      <c r="AE24" s="70">
        <f>IF(AQ24="7",BI24,0)</f>
        <v>0</v>
      </c>
      <c r="AF24" s="70">
        <f>IF(AQ24="2",BH24,0)</f>
        <v>0</v>
      </c>
      <c r="AG24" s="70">
        <f>IF(AQ24="2",BI24,0)</f>
        <v>0</v>
      </c>
      <c r="AH24" s="70">
        <f>IF(AQ24="0",BJ24,0)</f>
        <v>0</v>
      </c>
      <c r="AI24" s="65"/>
      <c r="AJ24" s="44">
        <f>IF(AN24=0,K24,0)</f>
        <v>0</v>
      </c>
      <c r="AK24" s="44">
        <f>IF(AN24=15,K24,0)</f>
        <v>0</v>
      </c>
      <c r="AL24" s="44">
        <f>IF(AN24=21,K24,0)</f>
        <v>0</v>
      </c>
      <c r="AN24" s="70">
        <v>21</v>
      </c>
      <c r="AO24" s="70">
        <f>H24*0</f>
        <v>0</v>
      </c>
      <c r="AP24" s="70">
        <f>H24*(1-0)</f>
        <v>0</v>
      </c>
      <c r="AQ24" s="64" t="s">
        <v>7</v>
      </c>
      <c r="AV24" s="70">
        <f>AW24+AX24</f>
        <v>0</v>
      </c>
      <c r="AW24" s="70">
        <f>G24*AO24</f>
        <v>0</v>
      </c>
      <c r="AX24" s="70">
        <f>G24*AP24</f>
        <v>0</v>
      </c>
      <c r="AY24" s="71" t="s">
        <v>225</v>
      </c>
      <c r="AZ24" s="71" t="s">
        <v>235</v>
      </c>
      <c r="BA24" s="65" t="s">
        <v>241</v>
      </c>
      <c r="BC24" s="70">
        <f>AW24+AX24</f>
        <v>0</v>
      </c>
      <c r="BD24" s="70">
        <f>H24/(100-BE24)*100</f>
        <v>0</v>
      </c>
      <c r="BE24" s="70">
        <v>0</v>
      </c>
      <c r="BF24" s="70">
        <f>24</f>
        <v>24</v>
      </c>
      <c r="BH24" s="44">
        <f>G24*AO24</f>
        <v>0</v>
      </c>
      <c r="BI24" s="44">
        <f>G24*AP24</f>
        <v>0</v>
      </c>
      <c r="BJ24" s="44">
        <f>G24*H24</f>
        <v>0</v>
      </c>
    </row>
    <row r="25" spans="1:62" ht="12.75">
      <c r="A25" s="10" t="s">
        <v>18</v>
      </c>
      <c r="B25" s="10" t="s">
        <v>67</v>
      </c>
      <c r="C25" s="10" t="s">
        <v>125</v>
      </c>
      <c r="D25" s="36"/>
      <c r="E25" s="36"/>
      <c r="F25" s="10" t="s">
        <v>193</v>
      </c>
      <c r="G25" s="44">
        <v>57.3</v>
      </c>
      <c r="H25" s="44">
        <v>0</v>
      </c>
      <c r="I25" s="44">
        <f>G25*AO25</f>
        <v>0</v>
      </c>
      <c r="J25" s="44">
        <f>G25*AP25</f>
        <v>0</v>
      </c>
      <c r="K25" s="44">
        <f>G25*H25</f>
        <v>0</v>
      </c>
      <c r="L25" s="64" t="s">
        <v>214</v>
      </c>
      <c r="Z25" s="70">
        <f>IF(AQ25="5",BJ25,0)</f>
        <v>0</v>
      </c>
      <c r="AB25" s="70">
        <f>IF(AQ25="1",BH25,0)</f>
        <v>0</v>
      </c>
      <c r="AC25" s="70">
        <f>IF(AQ25="1",BI25,0)</f>
        <v>0</v>
      </c>
      <c r="AD25" s="70">
        <f>IF(AQ25="7",BH25,0)</f>
        <v>0</v>
      </c>
      <c r="AE25" s="70">
        <f>IF(AQ25="7",BI25,0)</f>
        <v>0</v>
      </c>
      <c r="AF25" s="70">
        <f>IF(AQ25="2",BH25,0)</f>
        <v>0</v>
      </c>
      <c r="AG25" s="70">
        <f>IF(AQ25="2",BI25,0)</f>
        <v>0</v>
      </c>
      <c r="AH25" s="70">
        <f>IF(AQ25="0",BJ25,0)</f>
        <v>0</v>
      </c>
      <c r="AI25" s="65"/>
      <c r="AJ25" s="44">
        <f>IF(AN25=0,K25,0)</f>
        <v>0</v>
      </c>
      <c r="AK25" s="44">
        <f>IF(AN25=15,K25,0)</f>
        <v>0</v>
      </c>
      <c r="AL25" s="44">
        <f>IF(AN25=21,K25,0)</f>
        <v>0</v>
      </c>
      <c r="AN25" s="70">
        <v>21</v>
      </c>
      <c r="AO25" s="70">
        <f>H25*0</f>
        <v>0</v>
      </c>
      <c r="AP25" s="70">
        <f>H25*(1-0)</f>
        <v>0</v>
      </c>
      <c r="AQ25" s="64" t="s">
        <v>7</v>
      </c>
      <c r="AV25" s="70">
        <f>AW25+AX25</f>
        <v>0</v>
      </c>
      <c r="AW25" s="70">
        <f>G25*AO25</f>
        <v>0</v>
      </c>
      <c r="AX25" s="70">
        <f>G25*AP25</f>
        <v>0</v>
      </c>
      <c r="AY25" s="71" t="s">
        <v>225</v>
      </c>
      <c r="AZ25" s="71" t="s">
        <v>235</v>
      </c>
      <c r="BA25" s="65" t="s">
        <v>241</v>
      </c>
      <c r="BC25" s="70">
        <f>AW25+AX25</f>
        <v>0</v>
      </c>
      <c r="BD25" s="70">
        <f>H25/(100-BE25)*100</f>
        <v>0</v>
      </c>
      <c r="BE25" s="70">
        <v>0</v>
      </c>
      <c r="BF25" s="70">
        <f>25</f>
        <v>25</v>
      </c>
      <c r="BH25" s="44">
        <f>G25*AO25</f>
        <v>0</v>
      </c>
      <c r="BI25" s="44">
        <f>G25*AP25</f>
        <v>0</v>
      </c>
      <c r="BJ25" s="44">
        <f>G25*H25</f>
        <v>0</v>
      </c>
    </row>
    <row r="26" spans="1:62" ht="12.75">
      <c r="A26" s="10" t="s">
        <v>19</v>
      </c>
      <c r="B26" s="10" t="s">
        <v>68</v>
      </c>
      <c r="C26" s="10" t="s">
        <v>126</v>
      </c>
      <c r="D26" s="36"/>
      <c r="E26" s="36"/>
      <c r="F26" s="10" t="s">
        <v>193</v>
      </c>
      <c r="G26" s="44">
        <v>62.625</v>
      </c>
      <c r="H26" s="44">
        <v>0</v>
      </c>
      <c r="I26" s="44">
        <f>G26*AO26</f>
        <v>0</v>
      </c>
      <c r="J26" s="44">
        <f>G26*AP26</f>
        <v>0</v>
      </c>
      <c r="K26" s="44">
        <f>G26*H26</f>
        <v>0</v>
      </c>
      <c r="L26" s="64" t="s">
        <v>214</v>
      </c>
      <c r="Z26" s="70">
        <f>IF(AQ26="5",BJ26,0)</f>
        <v>0</v>
      </c>
      <c r="AB26" s="70">
        <f>IF(AQ26="1",BH26,0)</f>
        <v>0</v>
      </c>
      <c r="AC26" s="70">
        <f>IF(AQ26="1",BI26,0)</f>
        <v>0</v>
      </c>
      <c r="AD26" s="70">
        <f>IF(AQ26="7",BH26,0)</f>
        <v>0</v>
      </c>
      <c r="AE26" s="70">
        <f>IF(AQ26="7",BI26,0)</f>
        <v>0</v>
      </c>
      <c r="AF26" s="70">
        <f>IF(AQ26="2",BH26,0)</f>
        <v>0</v>
      </c>
      <c r="AG26" s="70">
        <f>IF(AQ26="2",BI26,0)</f>
        <v>0</v>
      </c>
      <c r="AH26" s="70">
        <f>IF(AQ26="0",BJ26,0)</f>
        <v>0</v>
      </c>
      <c r="AI26" s="65"/>
      <c r="AJ26" s="44">
        <f>IF(AN26=0,K26,0)</f>
        <v>0</v>
      </c>
      <c r="AK26" s="44">
        <f>IF(AN26=15,K26,0)</f>
        <v>0</v>
      </c>
      <c r="AL26" s="44">
        <f>IF(AN26=21,K26,0)</f>
        <v>0</v>
      </c>
      <c r="AN26" s="70">
        <v>21</v>
      </c>
      <c r="AO26" s="70">
        <f>H26*0</f>
        <v>0</v>
      </c>
      <c r="AP26" s="70">
        <f>H26*(1-0)</f>
        <v>0</v>
      </c>
      <c r="AQ26" s="64" t="s">
        <v>7</v>
      </c>
      <c r="AV26" s="70">
        <f>AW26+AX26</f>
        <v>0</v>
      </c>
      <c r="AW26" s="70">
        <f>G26*AO26</f>
        <v>0</v>
      </c>
      <c r="AX26" s="70">
        <f>G26*AP26</f>
        <v>0</v>
      </c>
      <c r="AY26" s="71" t="s">
        <v>225</v>
      </c>
      <c r="AZ26" s="71" t="s">
        <v>235</v>
      </c>
      <c r="BA26" s="65" t="s">
        <v>241</v>
      </c>
      <c r="BC26" s="70">
        <f>AW26+AX26</f>
        <v>0</v>
      </c>
      <c r="BD26" s="70">
        <f>H26/(100-BE26)*100</f>
        <v>0</v>
      </c>
      <c r="BE26" s="70">
        <v>0</v>
      </c>
      <c r="BF26" s="70">
        <f>26</f>
        <v>26</v>
      </c>
      <c r="BH26" s="44">
        <f>G26*AO26</f>
        <v>0</v>
      </c>
      <c r="BI26" s="44">
        <f>G26*AP26</f>
        <v>0</v>
      </c>
      <c r="BJ26" s="44">
        <f>G26*H26</f>
        <v>0</v>
      </c>
    </row>
    <row r="27" spans="1:62" ht="12.75">
      <c r="A27" s="10" t="s">
        <v>20</v>
      </c>
      <c r="B27" s="10" t="s">
        <v>69</v>
      </c>
      <c r="C27" s="10" t="s">
        <v>127</v>
      </c>
      <c r="D27" s="36"/>
      <c r="E27" s="36"/>
      <c r="F27" s="10" t="s">
        <v>193</v>
      </c>
      <c r="G27" s="44">
        <v>62.62</v>
      </c>
      <c r="H27" s="44">
        <v>0</v>
      </c>
      <c r="I27" s="44">
        <f>G27*AO27</f>
        <v>0</v>
      </c>
      <c r="J27" s="44">
        <f>G27*AP27</f>
        <v>0</v>
      </c>
      <c r="K27" s="44">
        <f>G27*H27</f>
        <v>0</v>
      </c>
      <c r="L27" s="64" t="s">
        <v>214</v>
      </c>
      <c r="Z27" s="70">
        <f>IF(AQ27="5",BJ27,0)</f>
        <v>0</v>
      </c>
      <c r="AB27" s="70">
        <f>IF(AQ27="1",BH27,0)</f>
        <v>0</v>
      </c>
      <c r="AC27" s="70">
        <f>IF(AQ27="1",BI27,0)</f>
        <v>0</v>
      </c>
      <c r="AD27" s="70">
        <f>IF(AQ27="7",BH27,0)</f>
        <v>0</v>
      </c>
      <c r="AE27" s="70">
        <f>IF(AQ27="7",BI27,0)</f>
        <v>0</v>
      </c>
      <c r="AF27" s="70">
        <f>IF(AQ27="2",BH27,0)</f>
        <v>0</v>
      </c>
      <c r="AG27" s="70">
        <f>IF(AQ27="2",BI27,0)</f>
        <v>0</v>
      </c>
      <c r="AH27" s="70">
        <f>IF(AQ27="0",BJ27,0)</f>
        <v>0</v>
      </c>
      <c r="AI27" s="65"/>
      <c r="AJ27" s="44">
        <f>IF(AN27=0,K27,0)</f>
        <v>0</v>
      </c>
      <c r="AK27" s="44">
        <f>IF(AN27=15,K27,0)</f>
        <v>0</v>
      </c>
      <c r="AL27" s="44">
        <f>IF(AN27=21,K27,0)</f>
        <v>0</v>
      </c>
      <c r="AN27" s="70">
        <v>21</v>
      </c>
      <c r="AO27" s="70">
        <f>H27*0</f>
        <v>0</v>
      </c>
      <c r="AP27" s="70">
        <f>H27*(1-0)</f>
        <v>0</v>
      </c>
      <c r="AQ27" s="64" t="s">
        <v>7</v>
      </c>
      <c r="AV27" s="70">
        <f>AW27+AX27</f>
        <v>0</v>
      </c>
      <c r="AW27" s="70">
        <f>G27*AO27</f>
        <v>0</v>
      </c>
      <c r="AX27" s="70">
        <f>G27*AP27</f>
        <v>0</v>
      </c>
      <c r="AY27" s="71" t="s">
        <v>225</v>
      </c>
      <c r="AZ27" s="71" t="s">
        <v>235</v>
      </c>
      <c r="BA27" s="65" t="s">
        <v>241</v>
      </c>
      <c r="BC27" s="70">
        <f>AW27+AX27</f>
        <v>0</v>
      </c>
      <c r="BD27" s="70">
        <f>H27/(100-BE27)*100</f>
        <v>0</v>
      </c>
      <c r="BE27" s="70">
        <v>0</v>
      </c>
      <c r="BF27" s="70">
        <f>27</f>
        <v>27</v>
      </c>
      <c r="BH27" s="44">
        <f>G27*AO27</f>
        <v>0</v>
      </c>
      <c r="BI27" s="44">
        <f>G27*AP27</f>
        <v>0</v>
      </c>
      <c r="BJ27" s="44">
        <f>G27*H27</f>
        <v>0</v>
      </c>
    </row>
    <row r="28" spans="2:12" ht="25.5" customHeight="1">
      <c r="B28" s="25" t="s">
        <v>70</v>
      </c>
      <c r="C28" s="30" t="s">
        <v>128</v>
      </c>
      <c r="D28" s="38"/>
      <c r="E28" s="38"/>
      <c r="F28" s="38"/>
      <c r="G28" s="38"/>
      <c r="H28" s="38"/>
      <c r="I28" s="38"/>
      <c r="J28" s="38"/>
      <c r="K28" s="38"/>
      <c r="L28" s="38"/>
    </row>
    <row r="29" spans="1:62" ht="12.75">
      <c r="A29" s="10" t="s">
        <v>21</v>
      </c>
      <c r="B29" s="10" t="s">
        <v>71</v>
      </c>
      <c r="C29" s="10" t="s">
        <v>129</v>
      </c>
      <c r="D29" s="36"/>
      <c r="E29" s="36"/>
      <c r="F29" s="10" t="s">
        <v>194</v>
      </c>
      <c r="G29" s="44">
        <v>52</v>
      </c>
      <c r="H29" s="44">
        <v>0</v>
      </c>
      <c r="I29" s="44">
        <f>G29*AO29</f>
        <v>0</v>
      </c>
      <c r="J29" s="44">
        <f>G29*AP29</f>
        <v>0</v>
      </c>
      <c r="K29" s="44">
        <f>G29*H29</f>
        <v>0</v>
      </c>
      <c r="L29" s="64" t="s">
        <v>214</v>
      </c>
      <c r="Z29" s="70">
        <f>IF(AQ29="5",BJ29,0)</f>
        <v>0</v>
      </c>
      <c r="AB29" s="70">
        <f>IF(AQ29="1",BH29,0)</f>
        <v>0</v>
      </c>
      <c r="AC29" s="70">
        <f>IF(AQ29="1",BI29,0)</f>
        <v>0</v>
      </c>
      <c r="AD29" s="70">
        <f>IF(AQ29="7",BH29,0)</f>
        <v>0</v>
      </c>
      <c r="AE29" s="70">
        <f>IF(AQ29="7",BI29,0)</f>
        <v>0</v>
      </c>
      <c r="AF29" s="70">
        <f>IF(AQ29="2",BH29,0)</f>
        <v>0</v>
      </c>
      <c r="AG29" s="70">
        <f>IF(AQ29="2",BI29,0)</f>
        <v>0</v>
      </c>
      <c r="AH29" s="70">
        <f>IF(AQ29="0",BJ29,0)</f>
        <v>0</v>
      </c>
      <c r="AI29" s="65"/>
      <c r="AJ29" s="44">
        <f>IF(AN29=0,K29,0)</f>
        <v>0</v>
      </c>
      <c r="AK29" s="44">
        <f>IF(AN29=15,K29,0)</f>
        <v>0</v>
      </c>
      <c r="AL29" s="44">
        <f>IF(AN29=21,K29,0)</f>
        <v>0</v>
      </c>
      <c r="AN29" s="70">
        <v>21</v>
      </c>
      <c r="AO29" s="70">
        <f>H29*0.548622366288493</f>
        <v>0</v>
      </c>
      <c r="AP29" s="70">
        <f>H29*(1-0.548622366288493)</f>
        <v>0</v>
      </c>
      <c r="AQ29" s="64" t="s">
        <v>7</v>
      </c>
      <c r="AV29" s="70">
        <f>AW29+AX29</f>
        <v>0</v>
      </c>
      <c r="AW29" s="70">
        <f>G29*AO29</f>
        <v>0</v>
      </c>
      <c r="AX29" s="70">
        <f>G29*AP29</f>
        <v>0</v>
      </c>
      <c r="AY29" s="71" t="s">
        <v>225</v>
      </c>
      <c r="AZ29" s="71" t="s">
        <v>235</v>
      </c>
      <c r="BA29" s="65" t="s">
        <v>241</v>
      </c>
      <c r="BC29" s="70">
        <f>AW29+AX29</f>
        <v>0</v>
      </c>
      <c r="BD29" s="70">
        <f>H29/(100-BE29)*100</f>
        <v>0</v>
      </c>
      <c r="BE29" s="70">
        <v>0</v>
      </c>
      <c r="BF29" s="70">
        <f>29</f>
        <v>29</v>
      </c>
      <c r="BH29" s="44">
        <f>G29*AO29</f>
        <v>0</v>
      </c>
      <c r="BI29" s="44">
        <f>G29*AP29</f>
        <v>0</v>
      </c>
      <c r="BJ29" s="44">
        <f>G29*H29</f>
        <v>0</v>
      </c>
    </row>
    <row r="30" spans="2:12" ht="12.75">
      <c r="B30" s="25" t="s">
        <v>70</v>
      </c>
      <c r="C30" s="30" t="s">
        <v>130</v>
      </c>
      <c r="D30" s="38"/>
      <c r="E30" s="38"/>
      <c r="F30" s="38"/>
      <c r="G30" s="38"/>
      <c r="H30" s="38"/>
      <c r="I30" s="38"/>
      <c r="J30" s="38"/>
      <c r="K30" s="38"/>
      <c r="L30" s="38"/>
    </row>
    <row r="31" spans="1:62" ht="12.75">
      <c r="A31" s="10" t="s">
        <v>22</v>
      </c>
      <c r="B31" s="10" t="s">
        <v>72</v>
      </c>
      <c r="C31" s="10" t="s">
        <v>131</v>
      </c>
      <c r="D31" s="36"/>
      <c r="E31" s="36"/>
      <c r="F31" s="10" t="s">
        <v>194</v>
      </c>
      <c r="G31" s="44">
        <v>70</v>
      </c>
      <c r="H31" s="44">
        <v>0</v>
      </c>
      <c r="I31" s="44">
        <f>G31*AO31</f>
        <v>0</v>
      </c>
      <c r="J31" s="44">
        <f>G31*AP31</f>
        <v>0</v>
      </c>
      <c r="K31" s="44">
        <f>G31*H31</f>
        <v>0</v>
      </c>
      <c r="L31" s="64" t="s">
        <v>214</v>
      </c>
      <c r="Z31" s="70">
        <f>IF(AQ31="5",BJ31,0)</f>
        <v>0</v>
      </c>
      <c r="AB31" s="70">
        <f>IF(AQ31="1",BH31,0)</f>
        <v>0</v>
      </c>
      <c r="AC31" s="70">
        <f>IF(AQ31="1",BI31,0)</f>
        <v>0</v>
      </c>
      <c r="AD31" s="70">
        <f>IF(AQ31="7",BH31,0)</f>
        <v>0</v>
      </c>
      <c r="AE31" s="70">
        <f>IF(AQ31="7",BI31,0)</f>
        <v>0</v>
      </c>
      <c r="AF31" s="70">
        <f>IF(AQ31="2",BH31,0)</f>
        <v>0</v>
      </c>
      <c r="AG31" s="70">
        <f>IF(AQ31="2",BI31,0)</f>
        <v>0</v>
      </c>
      <c r="AH31" s="70">
        <f>IF(AQ31="0",BJ31,0)</f>
        <v>0</v>
      </c>
      <c r="AI31" s="65"/>
      <c r="AJ31" s="44">
        <f>IF(AN31=0,K31,0)</f>
        <v>0</v>
      </c>
      <c r="AK31" s="44">
        <f>IF(AN31=15,K31,0)</f>
        <v>0</v>
      </c>
      <c r="AL31" s="44">
        <f>IF(AN31=21,K31,0)</f>
        <v>0</v>
      </c>
      <c r="AN31" s="70">
        <v>21</v>
      </c>
      <c r="AO31" s="70">
        <f>H31*0.322512123762575</f>
        <v>0</v>
      </c>
      <c r="AP31" s="70">
        <f>H31*(1-0.322512123762575)</f>
        <v>0</v>
      </c>
      <c r="AQ31" s="64" t="s">
        <v>7</v>
      </c>
      <c r="AV31" s="70">
        <f>AW31+AX31</f>
        <v>0</v>
      </c>
      <c r="AW31" s="70">
        <f>G31*AO31</f>
        <v>0</v>
      </c>
      <c r="AX31" s="70">
        <f>G31*AP31</f>
        <v>0</v>
      </c>
      <c r="AY31" s="71" t="s">
        <v>225</v>
      </c>
      <c r="AZ31" s="71" t="s">
        <v>235</v>
      </c>
      <c r="BA31" s="65" t="s">
        <v>241</v>
      </c>
      <c r="BC31" s="70">
        <f>AW31+AX31</f>
        <v>0</v>
      </c>
      <c r="BD31" s="70">
        <f>H31/(100-BE31)*100</f>
        <v>0</v>
      </c>
      <c r="BE31" s="70">
        <v>0</v>
      </c>
      <c r="BF31" s="70">
        <f>31</f>
        <v>31</v>
      </c>
      <c r="BH31" s="44">
        <f>G31*AO31</f>
        <v>0</v>
      </c>
      <c r="BI31" s="44">
        <f>G31*AP31</f>
        <v>0</v>
      </c>
      <c r="BJ31" s="44">
        <f>G31*H31</f>
        <v>0</v>
      </c>
    </row>
    <row r="32" spans="2:12" ht="12.75">
      <c r="B32" s="25" t="s">
        <v>70</v>
      </c>
      <c r="C32" s="30" t="s">
        <v>132</v>
      </c>
      <c r="D32" s="38"/>
      <c r="E32" s="38"/>
      <c r="F32" s="38"/>
      <c r="G32" s="38"/>
      <c r="H32" s="38"/>
      <c r="I32" s="38"/>
      <c r="J32" s="38"/>
      <c r="K32" s="38"/>
      <c r="L32" s="38"/>
    </row>
    <row r="33" spans="1:47" ht="12.75">
      <c r="A33" s="11"/>
      <c r="B33" s="24" t="s">
        <v>18</v>
      </c>
      <c r="C33" s="24" t="s">
        <v>133</v>
      </c>
      <c r="D33" s="37"/>
      <c r="E33" s="37"/>
      <c r="F33" s="11" t="s">
        <v>6</v>
      </c>
      <c r="G33" s="11" t="s">
        <v>6</v>
      </c>
      <c r="H33" s="11" t="s">
        <v>6</v>
      </c>
      <c r="I33" s="73">
        <f>SUM(I34:I35)</f>
        <v>0</v>
      </c>
      <c r="J33" s="73">
        <f>SUM(J34:J35)</f>
        <v>0</v>
      </c>
      <c r="K33" s="73">
        <f>SUM(K34:K35)</f>
        <v>0</v>
      </c>
      <c r="L33" s="65"/>
      <c r="AI33" s="65"/>
      <c r="AS33" s="73">
        <f>SUM(AJ34:AJ35)</f>
        <v>0</v>
      </c>
      <c r="AT33" s="73">
        <f>SUM(AK34:AK35)</f>
        <v>0</v>
      </c>
      <c r="AU33" s="73">
        <f>SUM(AL34:AL35)</f>
        <v>0</v>
      </c>
    </row>
    <row r="34" spans="1:62" ht="12.75">
      <c r="A34" s="10" t="s">
        <v>23</v>
      </c>
      <c r="B34" s="10" t="s">
        <v>73</v>
      </c>
      <c r="C34" s="10" t="s">
        <v>134</v>
      </c>
      <c r="D34" s="36"/>
      <c r="E34" s="36"/>
      <c r="F34" s="10" t="s">
        <v>195</v>
      </c>
      <c r="G34" s="44">
        <v>380.97</v>
      </c>
      <c r="H34" s="44">
        <v>0</v>
      </c>
      <c r="I34" s="44">
        <f>G34*AO34</f>
        <v>0</v>
      </c>
      <c r="J34" s="44">
        <f>G34*AP34</f>
        <v>0</v>
      </c>
      <c r="K34" s="44">
        <f>G34*H34</f>
        <v>0</v>
      </c>
      <c r="L34" s="64" t="s">
        <v>214</v>
      </c>
      <c r="Z34" s="70">
        <f>IF(AQ34="5",BJ34,0)</f>
        <v>0</v>
      </c>
      <c r="AB34" s="70">
        <f>IF(AQ34="1",BH34,0)</f>
        <v>0</v>
      </c>
      <c r="AC34" s="70">
        <f>IF(AQ34="1",BI34,0)</f>
        <v>0</v>
      </c>
      <c r="AD34" s="70">
        <f>IF(AQ34="7",BH34,0)</f>
        <v>0</v>
      </c>
      <c r="AE34" s="70">
        <f>IF(AQ34="7",BI34,0)</f>
        <v>0</v>
      </c>
      <c r="AF34" s="70">
        <f>IF(AQ34="2",BH34,0)</f>
        <v>0</v>
      </c>
      <c r="AG34" s="70">
        <f>IF(AQ34="2",BI34,0)</f>
        <v>0</v>
      </c>
      <c r="AH34" s="70">
        <f>IF(AQ34="0",BJ34,0)</f>
        <v>0</v>
      </c>
      <c r="AI34" s="65"/>
      <c r="AJ34" s="44">
        <f>IF(AN34=0,K34,0)</f>
        <v>0</v>
      </c>
      <c r="AK34" s="44">
        <f>IF(AN34=15,K34,0)</f>
        <v>0</v>
      </c>
      <c r="AL34" s="44">
        <f>IF(AN34=21,K34,0)</f>
        <v>0</v>
      </c>
      <c r="AN34" s="70">
        <v>21</v>
      </c>
      <c r="AO34" s="70">
        <f>H34*0</f>
        <v>0</v>
      </c>
      <c r="AP34" s="70">
        <f>H34*(1-0)</f>
        <v>0</v>
      </c>
      <c r="AQ34" s="64" t="s">
        <v>7</v>
      </c>
      <c r="AV34" s="70">
        <f>AW34+AX34</f>
        <v>0</v>
      </c>
      <c r="AW34" s="70">
        <f>G34*AO34</f>
        <v>0</v>
      </c>
      <c r="AX34" s="70">
        <f>G34*AP34</f>
        <v>0</v>
      </c>
      <c r="AY34" s="71" t="s">
        <v>226</v>
      </c>
      <c r="AZ34" s="71" t="s">
        <v>235</v>
      </c>
      <c r="BA34" s="65" t="s">
        <v>241</v>
      </c>
      <c r="BC34" s="70">
        <f>AW34+AX34</f>
        <v>0</v>
      </c>
      <c r="BD34" s="70">
        <f>H34/(100-BE34)*100</f>
        <v>0</v>
      </c>
      <c r="BE34" s="70">
        <v>0</v>
      </c>
      <c r="BF34" s="70">
        <f>34</f>
        <v>34</v>
      </c>
      <c r="BH34" s="44">
        <f>G34*AO34</f>
        <v>0</v>
      </c>
      <c r="BI34" s="44">
        <f>G34*AP34</f>
        <v>0</v>
      </c>
      <c r="BJ34" s="44">
        <f>G34*H34</f>
        <v>0</v>
      </c>
    </row>
    <row r="35" spans="1:62" ht="12.75">
      <c r="A35" s="10" t="s">
        <v>24</v>
      </c>
      <c r="B35" s="10" t="s">
        <v>74</v>
      </c>
      <c r="C35" s="10" t="s">
        <v>135</v>
      </c>
      <c r="D35" s="36"/>
      <c r="E35" s="36"/>
      <c r="F35" s="10" t="s">
        <v>195</v>
      </c>
      <c r="G35" s="44">
        <v>380.97</v>
      </c>
      <c r="H35" s="44">
        <v>0</v>
      </c>
      <c r="I35" s="44">
        <f>G35*AO35</f>
        <v>0</v>
      </c>
      <c r="J35" s="44">
        <f>G35*AP35</f>
        <v>0</v>
      </c>
      <c r="K35" s="44">
        <f>G35*H35</f>
        <v>0</v>
      </c>
      <c r="L35" s="64" t="s">
        <v>214</v>
      </c>
      <c r="Z35" s="70">
        <f>IF(AQ35="5",BJ35,0)</f>
        <v>0</v>
      </c>
      <c r="AB35" s="70">
        <f>IF(AQ35="1",BH35,0)</f>
        <v>0</v>
      </c>
      <c r="AC35" s="70">
        <f>IF(AQ35="1",BI35,0)</f>
        <v>0</v>
      </c>
      <c r="AD35" s="70">
        <f>IF(AQ35="7",BH35,0)</f>
        <v>0</v>
      </c>
      <c r="AE35" s="70">
        <f>IF(AQ35="7",BI35,0)</f>
        <v>0</v>
      </c>
      <c r="AF35" s="70">
        <f>IF(AQ35="2",BH35,0)</f>
        <v>0</v>
      </c>
      <c r="AG35" s="70">
        <f>IF(AQ35="2",BI35,0)</f>
        <v>0</v>
      </c>
      <c r="AH35" s="70">
        <f>IF(AQ35="0",BJ35,0)</f>
        <v>0</v>
      </c>
      <c r="AI35" s="65"/>
      <c r="AJ35" s="44">
        <f>IF(AN35=0,K35,0)</f>
        <v>0</v>
      </c>
      <c r="AK35" s="44">
        <f>IF(AN35=15,K35,0)</f>
        <v>0</v>
      </c>
      <c r="AL35" s="44">
        <f>IF(AN35=21,K35,0)</f>
        <v>0</v>
      </c>
      <c r="AN35" s="70">
        <v>21</v>
      </c>
      <c r="AO35" s="70">
        <f>H35*0</f>
        <v>0</v>
      </c>
      <c r="AP35" s="70">
        <f>H35*(1-0)</f>
        <v>0</v>
      </c>
      <c r="AQ35" s="64" t="s">
        <v>7</v>
      </c>
      <c r="AV35" s="70">
        <f>AW35+AX35</f>
        <v>0</v>
      </c>
      <c r="AW35" s="70">
        <f>G35*AO35</f>
        <v>0</v>
      </c>
      <c r="AX35" s="70">
        <f>G35*AP35</f>
        <v>0</v>
      </c>
      <c r="AY35" s="71" t="s">
        <v>226</v>
      </c>
      <c r="AZ35" s="71" t="s">
        <v>235</v>
      </c>
      <c r="BA35" s="65" t="s">
        <v>241</v>
      </c>
      <c r="BC35" s="70">
        <f>AW35+AX35</f>
        <v>0</v>
      </c>
      <c r="BD35" s="70">
        <f>H35/(100-BE35)*100</f>
        <v>0</v>
      </c>
      <c r="BE35" s="70">
        <v>0</v>
      </c>
      <c r="BF35" s="70">
        <f>35</f>
        <v>35</v>
      </c>
      <c r="BH35" s="44">
        <f>G35*AO35</f>
        <v>0</v>
      </c>
      <c r="BI35" s="44">
        <f>G35*AP35</f>
        <v>0</v>
      </c>
      <c r="BJ35" s="44">
        <f>G35*H35</f>
        <v>0</v>
      </c>
    </row>
    <row r="36" spans="2:12" ht="12.75">
      <c r="B36" s="25" t="s">
        <v>70</v>
      </c>
      <c r="C36" s="30" t="s">
        <v>136</v>
      </c>
      <c r="D36" s="38"/>
      <c r="E36" s="38"/>
      <c r="F36" s="38"/>
      <c r="G36" s="38"/>
      <c r="H36" s="38"/>
      <c r="I36" s="38"/>
      <c r="J36" s="38"/>
      <c r="K36" s="38"/>
      <c r="L36" s="38"/>
    </row>
    <row r="37" spans="1:47" ht="12.75">
      <c r="A37" s="11"/>
      <c r="B37" s="24" t="s">
        <v>22</v>
      </c>
      <c r="C37" s="24" t="s">
        <v>137</v>
      </c>
      <c r="D37" s="37"/>
      <c r="E37" s="37"/>
      <c r="F37" s="11" t="s">
        <v>6</v>
      </c>
      <c r="G37" s="11" t="s">
        <v>6</v>
      </c>
      <c r="H37" s="11" t="s">
        <v>6</v>
      </c>
      <c r="I37" s="73">
        <f>SUM(I38:I39)</f>
        <v>0</v>
      </c>
      <c r="J37" s="73">
        <f>SUM(J38:J39)</f>
        <v>0</v>
      </c>
      <c r="K37" s="73">
        <f>SUM(K38:K39)</f>
        <v>0</v>
      </c>
      <c r="L37" s="65"/>
      <c r="AI37" s="65"/>
      <c r="AS37" s="73">
        <f>SUM(AJ38:AJ39)</f>
        <v>0</v>
      </c>
      <c r="AT37" s="73">
        <f>SUM(AK38:AK39)</f>
        <v>0</v>
      </c>
      <c r="AU37" s="73">
        <f>SUM(AL38:AL39)</f>
        <v>0</v>
      </c>
    </row>
    <row r="38" spans="1:62" ht="12.75">
      <c r="A38" s="10" t="s">
        <v>25</v>
      </c>
      <c r="B38" s="10" t="s">
        <v>75</v>
      </c>
      <c r="C38" s="10" t="s">
        <v>138</v>
      </c>
      <c r="D38" s="36"/>
      <c r="E38" s="36"/>
      <c r="F38" s="10" t="s">
        <v>195</v>
      </c>
      <c r="G38" s="44">
        <v>380.97</v>
      </c>
      <c r="H38" s="44">
        <v>0</v>
      </c>
      <c r="I38" s="44">
        <f>G38*AO38</f>
        <v>0</v>
      </c>
      <c r="J38" s="44">
        <f>G38*AP38</f>
        <v>0</v>
      </c>
      <c r="K38" s="44">
        <f>G38*H38</f>
        <v>0</v>
      </c>
      <c r="L38" s="64" t="s">
        <v>214</v>
      </c>
      <c r="Z38" s="70">
        <f>IF(AQ38="5",BJ38,0)</f>
        <v>0</v>
      </c>
      <c r="AB38" s="70">
        <f>IF(AQ38="1",BH38,0)</f>
        <v>0</v>
      </c>
      <c r="AC38" s="70">
        <f>IF(AQ38="1",BI38,0)</f>
        <v>0</v>
      </c>
      <c r="AD38" s="70">
        <f>IF(AQ38="7",BH38,0)</f>
        <v>0</v>
      </c>
      <c r="AE38" s="70">
        <f>IF(AQ38="7",BI38,0)</f>
        <v>0</v>
      </c>
      <c r="AF38" s="70">
        <f>IF(AQ38="2",BH38,0)</f>
        <v>0</v>
      </c>
      <c r="AG38" s="70">
        <f>IF(AQ38="2",BI38,0)</f>
        <v>0</v>
      </c>
      <c r="AH38" s="70">
        <f>IF(AQ38="0",BJ38,0)</f>
        <v>0</v>
      </c>
      <c r="AI38" s="65"/>
      <c r="AJ38" s="44">
        <f>IF(AN38=0,K38,0)</f>
        <v>0</v>
      </c>
      <c r="AK38" s="44">
        <f>IF(AN38=15,K38,0)</f>
        <v>0</v>
      </c>
      <c r="AL38" s="44">
        <f>IF(AN38=21,K38,0)</f>
        <v>0</v>
      </c>
      <c r="AN38" s="70">
        <v>21</v>
      </c>
      <c r="AO38" s="70">
        <f>H38*0</f>
        <v>0</v>
      </c>
      <c r="AP38" s="70">
        <f>H38*(1-0)</f>
        <v>0</v>
      </c>
      <c r="AQ38" s="64" t="s">
        <v>7</v>
      </c>
      <c r="AV38" s="70">
        <f>AW38+AX38</f>
        <v>0</v>
      </c>
      <c r="AW38" s="70">
        <f>G38*AO38</f>
        <v>0</v>
      </c>
      <c r="AX38" s="70">
        <f>G38*AP38</f>
        <v>0</v>
      </c>
      <c r="AY38" s="71" t="s">
        <v>227</v>
      </c>
      <c r="AZ38" s="71" t="s">
        <v>235</v>
      </c>
      <c r="BA38" s="65" t="s">
        <v>241</v>
      </c>
      <c r="BC38" s="70">
        <f>AW38+AX38</f>
        <v>0</v>
      </c>
      <c r="BD38" s="70">
        <f>H38/(100-BE38)*100</f>
        <v>0</v>
      </c>
      <c r="BE38" s="70">
        <v>0</v>
      </c>
      <c r="BF38" s="70">
        <f>38</f>
        <v>38</v>
      </c>
      <c r="BH38" s="44">
        <f>G38*AO38</f>
        <v>0</v>
      </c>
      <c r="BI38" s="44">
        <f>G38*AP38</f>
        <v>0</v>
      </c>
      <c r="BJ38" s="44">
        <f>G38*H38</f>
        <v>0</v>
      </c>
    </row>
    <row r="39" spans="1:62" ht="12.75">
      <c r="A39" s="10" t="s">
        <v>26</v>
      </c>
      <c r="B39" s="10" t="s">
        <v>76</v>
      </c>
      <c r="C39" s="10" t="s">
        <v>139</v>
      </c>
      <c r="D39" s="36"/>
      <c r="E39" s="36"/>
      <c r="F39" s="10" t="s">
        <v>195</v>
      </c>
      <c r="G39" s="44">
        <v>380.97</v>
      </c>
      <c r="H39" s="44">
        <v>0</v>
      </c>
      <c r="I39" s="44">
        <f>G39*AO39</f>
        <v>0</v>
      </c>
      <c r="J39" s="44">
        <f>G39*AP39</f>
        <v>0</v>
      </c>
      <c r="K39" s="44">
        <f>G39*H39</f>
        <v>0</v>
      </c>
      <c r="L39" s="64" t="s">
        <v>214</v>
      </c>
      <c r="Z39" s="70">
        <f>IF(AQ39="5",BJ39,0)</f>
        <v>0</v>
      </c>
      <c r="AB39" s="70">
        <f>IF(AQ39="1",BH39,0)</f>
        <v>0</v>
      </c>
      <c r="AC39" s="70">
        <f>IF(AQ39="1",BI39,0)</f>
        <v>0</v>
      </c>
      <c r="AD39" s="70">
        <f>IF(AQ39="7",BH39,0)</f>
        <v>0</v>
      </c>
      <c r="AE39" s="70">
        <f>IF(AQ39="7",BI39,0)</f>
        <v>0</v>
      </c>
      <c r="AF39" s="70">
        <f>IF(AQ39="2",BH39,0)</f>
        <v>0</v>
      </c>
      <c r="AG39" s="70">
        <f>IF(AQ39="2",BI39,0)</f>
        <v>0</v>
      </c>
      <c r="AH39" s="70">
        <f>IF(AQ39="0",BJ39,0)</f>
        <v>0</v>
      </c>
      <c r="AI39" s="65"/>
      <c r="AJ39" s="44">
        <f>IF(AN39=0,K39,0)</f>
        <v>0</v>
      </c>
      <c r="AK39" s="44">
        <f>IF(AN39=15,K39,0)</f>
        <v>0</v>
      </c>
      <c r="AL39" s="44">
        <f>IF(AN39=21,K39,0)</f>
        <v>0</v>
      </c>
      <c r="AN39" s="70">
        <v>21</v>
      </c>
      <c r="AO39" s="70">
        <f>H39*0</f>
        <v>0</v>
      </c>
      <c r="AP39" s="70">
        <f>H39*(1-0)</f>
        <v>0</v>
      </c>
      <c r="AQ39" s="64" t="s">
        <v>7</v>
      </c>
      <c r="AV39" s="70">
        <f>AW39+AX39</f>
        <v>0</v>
      </c>
      <c r="AW39" s="70">
        <f>G39*AO39</f>
        <v>0</v>
      </c>
      <c r="AX39" s="70">
        <f>G39*AP39</f>
        <v>0</v>
      </c>
      <c r="AY39" s="71" t="s">
        <v>227</v>
      </c>
      <c r="AZ39" s="71" t="s">
        <v>235</v>
      </c>
      <c r="BA39" s="65" t="s">
        <v>241</v>
      </c>
      <c r="BC39" s="70">
        <f>AW39+AX39</f>
        <v>0</v>
      </c>
      <c r="BD39" s="70">
        <f>H39/(100-BE39)*100</f>
        <v>0</v>
      </c>
      <c r="BE39" s="70">
        <v>0</v>
      </c>
      <c r="BF39" s="70">
        <f>39</f>
        <v>39</v>
      </c>
      <c r="BH39" s="44">
        <f>G39*AO39</f>
        <v>0</v>
      </c>
      <c r="BI39" s="44">
        <f>G39*AP39</f>
        <v>0</v>
      </c>
      <c r="BJ39" s="44">
        <f>G39*H39</f>
        <v>0</v>
      </c>
    </row>
    <row r="40" spans="1:47" ht="12.75">
      <c r="A40" s="11"/>
      <c r="B40" s="24" t="s">
        <v>38</v>
      </c>
      <c r="C40" s="24" t="s">
        <v>140</v>
      </c>
      <c r="D40" s="37"/>
      <c r="E40" s="37"/>
      <c r="F40" s="11" t="s">
        <v>6</v>
      </c>
      <c r="G40" s="11" t="s">
        <v>6</v>
      </c>
      <c r="H40" s="11" t="s">
        <v>6</v>
      </c>
      <c r="I40" s="73">
        <f>SUM(I41:I41)</f>
        <v>0</v>
      </c>
      <c r="J40" s="73">
        <f>SUM(J41:J41)</f>
        <v>0</v>
      </c>
      <c r="K40" s="73">
        <f>SUM(K41:K41)</f>
        <v>0</v>
      </c>
      <c r="L40" s="65"/>
      <c r="AI40" s="65"/>
      <c r="AS40" s="73">
        <f>SUM(AJ41:AJ41)</f>
        <v>0</v>
      </c>
      <c r="AT40" s="73">
        <f>SUM(AK41:AK41)</f>
        <v>0</v>
      </c>
      <c r="AU40" s="73">
        <f>SUM(AL41:AL41)</f>
        <v>0</v>
      </c>
    </row>
    <row r="41" spans="1:62" ht="12.75">
      <c r="A41" s="10" t="s">
        <v>27</v>
      </c>
      <c r="B41" s="10" t="s">
        <v>77</v>
      </c>
      <c r="C41" s="10" t="s">
        <v>141</v>
      </c>
      <c r="D41" s="36"/>
      <c r="E41" s="36"/>
      <c r="F41" s="10" t="s">
        <v>195</v>
      </c>
      <c r="G41" s="44">
        <v>71.8</v>
      </c>
      <c r="H41" s="44">
        <v>0</v>
      </c>
      <c r="I41" s="44">
        <f>G41*AO41</f>
        <v>0</v>
      </c>
      <c r="J41" s="44">
        <f>G41*AP41</f>
        <v>0</v>
      </c>
      <c r="K41" s="44">
        <f>G41*H41</f>
        <v>0</v>
      </c>
      <c r="L41" s="64" t="s">
        <v>214</v>
      </c>
      <c r="Z41" s="70">
        <f>IF(AQ41="5",BJ41,0)</f>
        <v>0</v>
      </c>
      <c r="AB41" s="70">
        <f>IF(AQ41="1",BH41,0)</f>
        <v>0</v>
      </c>
      <c r="AC41" s="70">
        <f>IF(AQ41="1",BI41,0)</f>
        <v>0</v>
      </c>
      <c r="AD41" s="70">
        <f>IF(AQ41="7",BH41,0)</f>
        <v>0</v>
      </c>
      <c r="AE41" s="70">
        <f>IF(AQ41="7",BI41,0)</f>
        <v>0</v>
      </c>
      <c r="AF41" s="70">
        <f>IF(AQ41="2",BH41,0)</f>
        <v>0</v>
      </c>
      <c r="AG41" s="70">
        <f>IF(AQ41="2",BI41,0)</f>
        <v>0</v>
      </c>
      <c r="AH41" s="70">
        <f>IF(AQ41="0",BJ41,0)</f>
        <v>0</v>
      </c>
      <c r="AI41" s="65"/>
      <c r="AJ41" s="44">
        <f>IF(AN41=0,K41,0)</f>
        <v>0</v>
      </c>
      <c r="AK41" s="44">
        <f>IF(AN41=15,K41,0)</f>
        <v>0</v>
      </c>
      <c r="AL41" s="44">
        <f>IF(AN41=21,K41,0)</f>
        <v>0</v>
      </c>
      <c r="AN41" s="70">
        <v>21</v>
      </c>
      <c r="AO41" s="70">
        <f>H41*0.836900212314225</f>
        <v>0</v>
      </c>
      <c r="AP41" s="70">
        <f>H41*(1-0.836900212314225)</f>
        <v>0</v>
      </c>
      <c r="AQ41" s="64" t="s">
        <v>7</v>
      </c>
      <c r="AV41" s="70">
        <f>AW41+AX41</f>
        <v>0</v>
      </c>
      <c r="AW41" s="70">
        <f>G41*AO41</f>
        <v>0</v>
      </c>
      <c r="AX41" s="70">
        <f>G41*AP41</f>
        <v>0</v>
      </c>
      <c r="AY41" s="71" t="s">
        <v>228</v>
      </c>
      <c r="AZ41" s="71" t="s">
        <v>236</v>
      </c>
      <c r="BA41" s="65" t="s">
        <v>241</v>
      </c>
      <c r="BC41" s="70">
        <f>AW41+AX41</f>
        <v>0</v>
      </c>
      <c r="BD41" s="70">
        <f>H41/(100-BE41)*100</f>
        <v>0</v>
      </c>
      <c r="BE41" s="70">
        <v>0</v>
      </c>
      <c r="BF41" s="70">
        <f>41</f>
        <v>41</v>
      </c>
      <c r="BH41" s="44">
        <f>G41*AO41</f>
        <v>0</v>
      </c>
      <c r="BI41" s="44">
        <f>G41*AP41</f>
        <v>0</v>
      </c>
      <c r="BJ41" s="44">
        <f>G41*H41</f>
        <v>0</v>
      </c>
    </row>
    <row r="42" spans="2:12" ht="38.25" customHeight="1">
      <c r="B42" s="25" t="s">
        <v>70</v>
      </c>
      <c r="C42" s="30" t="s">
        <v>142</v>
      </c>
      <c r="D42" s="38"/>
      <c r="E42" s="38"/>
      <c r="F42" s="38"/>
      <c r="G42" s="38"/>
      <c r="H42" s="38"/>
      <c r="I42" s="38"/>
      <c r="J42" s="38"/>
      <c r="K42" s="38"/>
      <c r="L42" s="38"/>
    </row>
    <row r="43" spans="1:47" ht="12.75">
      <c r="A43" s="11"/>
      <c r="B43" s="24" t="s">
        <v>78</v>
      </c>
      <c r="C43" s="24" t="s">
        <v>143</v>
      </c>
      <c r="D43" s="37"/>
      <c r="E43" s="37"/>
      <c r="F43" s="11" t="s">
        <v>6</v>
      </c>
      <c r="G43" s="11" t="s">
        <v>6</v>
      </c>
      <c r="H43" s="11" t="s">
        <v>6</v>
      </c>
      <c r="I43" s="73">
        <f>SUM(I44:I48)</f>
        <v>0</v>
      </c>
      <c r="J43" s="73">
        <f>SUM(J44:J48)</f>
        <v>0</v>
      </c>
      <c r="K43" s="73">
        <f>SUM(K44:K48)</f>
        <v>0</v>
      </c>
      <c r="L43" s="65"/>
      <c r="AI43" s="65"/>
      <c r="AS43" s="73">
        <f>SUM(AJ44:AJ48)</f>
        <v>0</v>
      </c>
      <c r="AT43" s="73">
        <f>SUM(AK44:AK48)</f>
        <v>0</v>
      </c>
      <c r="AU43" s="73">
        <f>SUM(AL44:AL48)</f>
        <v>0</v>
      </c>
    </row>
    <row r="44" spans="1:62" ht="12.75">
      <c r="A44" s="10" t="s">
        <v>28</v>
      </c>
      <c r="B44" s="10" t="s">
        <v>79</v>
      </c>
      <c r="C44" s="10" t="s">
        <v>144</v>
      </c>
      <c r="D44" s="36"/>
      <c r="E44" s="36"/>
      <c r="F44" s="10" t="s">
        <v>193</v>
      </c>
      <c r="G44" s="44">
        <v>58</v>
      </c>
      <c r="H44" s="44">
        <v>0</v>
      </c>
      <c r="I44" s="44">
        <f>G44*AO44</f>
        <v>0</v>
      </c>
      <c r="J44" s="44">
        <f>G44*AP44</f>
        <v>0</v>
      </c>
      <c r="K44" s="44">
        <f>G44*H44</f>
        <v>0</v>
      </c>
      <c r="L44" s="64" t="s">
        <v>214</v>
      </c>
      <c r="Z44" s="70">
        <f>IF(AQ44="5",BJ44,0)</f>
        <v>0</v>
      </c>
      <c r="AB44" s="70">
        <f>IF(AQ44="1",BH44,0)</f>
        <v>0</v>
      </c>
      <c r="AC44" s="70">
        <f>IF(AQ44="1",BI44,0)</f>
        <v>0</v>
      </c>
      <c r="AD44" s="70">
        <f>IF(AQ44="7",BH44,0)</f>
        <v>0</v>
      </c>
      <c r="AE44" s="70">
        <f>IF(AQ44="7",BI44,0)</f>
        <v>0</v>
      </c>
      <c r="AF44" s="70">
        <f>IF(AQ44="2",BH44,0)</f>
        <v>0</v>
      </c>
      <c r="AG44" s="70">
        <f>IF(AQ44="2",BI44,0)</f>
        <v>0</v>
      </c>
      <c r="AH44" s="70">
        <f>IF(AQ44="0",BJ44,0)</f>
        <v>0</v>
      </c>
      <c r="AI44" s="65"/>
      <c r="AJ44" s="44">
        <f>IF(AN44=0,K44,0)</f>
        <v>0</v>
      </c>
      <c r="AK44" s="44">
        <f>IF(AN44=15,K44,0)</f>
        <v>0</v>
      </c>
      <c r="AL44" s="44">
        <f>IF(AN44=21,K44,0)</f>
        <v>0</v>
      </c>
      <c r="AN44" s="70">
        <v>21</v>
      </c>
      <c r="AO44" s="70">
        <f>H44*0.670430256766135</f>
        <v>0</v>
      </c>
      <c r="AP44" s="70">
        <f>H44*(1-0.670430256766135)</f>
        <v>0</v>
      </c>
      <c r="AQ44" s="64" t="s">
        <v>7</v>
      </c>
      <c r="AV44" s="70">
        <f>AW44+AX44</f>
        <v>0</v>
      </c>
      <c r="AW44" s="70">
        <f>G44*AO44</f>
        <v>0</v>
      </c>
      <c r="AX44" s="70">
        <f>G44*AP44</f>
        <v>0</v>
      </c>
      <c r="AY44" s="71" t="s">
        <v>229</v>
      </c>
      <c r="AZ44" s="71" t="s">
        <v>237</v>
      </c>
      <c r="BA44" s="65" t="s">
        <v>241</v>
      </c>
      <c r="BC44" s="70">
        <f>AW44+AX44</f>
        <v>0</v>
      </c>
      <c r="BD44" s="70">
        <f>H44/(100-BE44)*100</f>
        <v>0</v>
      </c>
      <c r="BE44" s="70">
        <v>0</v>
      </c>
      <c r="BF44" s="70">
        <f>44</f>
        <v>44</v>
      </c>
      <c r="BH44" s="44">
        <f>G44*AO44</f>
        <v>0</v>
      </c>
      <c r="BI44" s="44">
        <f>G44*AP44</f>
        <v>0</v>
      </c>
      <c r="BJ44" s="44">
        <f>G44*H44</f>
        <v>0</v>
      </c>
    </row>
    <row r="45" spans="2:12" ht="25.5" customHeight="1">
      <c r="B45" s="25" t="s">
        <v>70</v>
      </c>
      <c r="C45" s="30" t="s">
        <v>145</v>
      </c>
      <c r="D45" s="38"/>
      <c r="E45" s="38"/>
      <c r="F45" s="38"/>
      <c r="G45" s="38"/>
      <c r="H45" s="38"/>
      <c r="I45" s="38"/>
      <c r="J45" s="38"/>
      <c r="K45" s="38"/>
      <c r="L45" s="38"/>
    </row>
    <row r="46" spans="1:62" ht="12.75">
      <c r="A46" s="10" t="s">
        <v>29</v>
      </c>
      <c r="B46" s="10" t="s">
        <v>80</v>
      </c>
      <c r="C46" s="10" t="s">
        <v>146</v>
      </c>
      <c r="D46" s="36"/>
      <c r="E46" s="36"/>
      <c r="F46" s="10" t="s">
        <v>193</v>
      </c>
      <c r="G46" s="44">
        <v>64.77</v>
      </c>
      <c r="H46" s="44">
        <v>0</v>
      </c>
      <c r="I46" s="44">
        <f>G46*AO46</f>
        <v>0</v>
      </c>
      <c r="J46" s="44">
        <f>G46*AP46</f>
        <v>0</v>
      </c>
      <c r="K46" s="44">
        <f>G46*H46</f>
        <v>0</v>
      </c>
      <c r="L46" s="64" t="s">
        <v>214</v>
      </c>
      <c r="Z46" s="70">
        <f>IF(AQ46="5",BJ46,0)</f>
        <v>0</v>
      </c>
      <c r="AB46" s="70">
        <f>IF(AQ46="1",BH46,0)</f>
        <v>0</v>
      </c>
      <c r="AC46" s="70">
        <f>IF(AQ46="1",BI46,0)</f>
        <v>0</v>
      </c>
      <c r="AD46" s="70">
        <f>IF(AQ46="7",BH46,0)</f>
        <v>0</v>
      </c>
      <c r="AE46" s="70">
        <f>IF(AQ46="7",BI46,0)</f>
        <v>0</v>
      </c>
      <c r="AF46" s="70">
        <f>IF(AQ46="2",BH46,0)</f>
        <v>0</v>
      </c>
      <c r="AG46" s="70">
        <f>IF(AQ46="2",BI46,0)</f>
        <v>0</v>
      </c>
      <c r="AH46" s="70">
        <f>IF(AQ46="0",BJ46,0)</f>
        <v>0</v>
      </c>
      <c r="AI46" s="65"/>
      <c r="AJ46" s="44">
        <f>IF(AN46=0,K46,0)</f>
        <v>0</v>
      </c>
      <c r="AK46" s="44">
        <f>IF(AN46=15,K46,0)</f>
        <v>0</v>
      </c>
      <c r="AL46" s="44">
        <f>IF(AN46=21,K46,0)</f>
        <v>0</v>
      </c>
      <c r="AN46" s="70">
        <v>21</v>
      </c>
      <c r="AO46" s="70">
        <f>H46*0.598324324324324</f>
        <v>0</v>
      </c>
      <c r="AP46" s="70">
        <f>H46*(1-0.598324324324324)</f>
        <v>0</v>
      </c>
      <c r="AQ46" s="64" t="s">
        <v>7</v>
      </c>
      <c r="AV46" s="70">
        <f>AW46+AX46</f>
        <v>0</v>
      </c>
      <c r="AW46" s="70">
        <f>G46*AO46</f>
        <v>0</v>
      </c>
      <c r="AX46" s="70">
        <f>G46*AP46</f>
        <v>0</v>
      </c>
      <c r="AY46" s="71" t="s">
        <v>229</v>
      </c>
      <c r="AZ46" s="71" t="s">
        <v>237</v>
      </c>
      <c r="BA46" s="65" t="s">
        <v>241</v>
      </c>
      <c r="BC46" s="70">
        <f>AW46+AX46</f>
        <v>0</v>
      </c>
      <c r="BD46" s="70">
        <f>H46/(100-BE46)*100</f>
        <v>0</v>
      </c>
      <c r="BE46" s="70">
        <v>0</v>
      </c>
      <c r="BF46" s="70">
        <f>46</f>
        <v>46</v>
      </c>
      <c r="BH46" s="44">
        <f>G46*AO46</f>
        <v>0</v>
      </c>
      <c r="BI46" s="44">
        <f>G46*AP46</f>
        <v>0</v>
      </c>
      <c r="BJ46" s="44">
        <f>G46*H46</f>
        <v>0</v>
      </c>
    </row>
    <row r="47" spans="1:62" ht="12.75">
      <c r="A47" s="10" t="s">
        <v>30</v>
      </c>
      <c r="B47" s="10" t="s">
        <v>81</v>
      </c>
      <c r="C47" s="10" t="s">
        <v>147</v>
      </c>
      <c r="D47" s="36"/>
      <c r="E47" s="36"/>
      <c r="F47" s="10" t="s">
        <v>193</v>
      </c>
      <c r="G47" s="44">
        <v>64.77</v>
      </c>
      <c r="H47" s="44">
        <v>0</v>
      </c>
      <c r="I47" s="44">
        <f>G47*AO47</f>
        <v>0</v>
      </c>
      <c r="J47" s="44">
        <f>G47*AP47</f>
        <v>0</v>
      </c>
      <c r="K47" s="44">
        <f>G47*H47</f>
        <v>0</v>
      </c>
      <c r="L47" s="64" t="s">
        <v>214</v>
      </c>
      <c r="Z47" s="70">
        <f>IF(AQ47="5",BJ47,0)</f>
        <v>0</v>
      </c>
      <c r="AB47" s="70">
        <f>IF(AQ47="1",BH47,0)</f>
        <v>0</v>
      </c>
      <c r="AC47" s="70">
        <f>IF(AQ47="1",BI47,0)</f>
        <v>0</v>
      </c>
      <c r="AD47" s="70">
        <f>IF(AQ47="7",BH47,0)</f>
        <v>0</v>
      </c>
      <c r="AE47" s="70">
        <f>IF(AQ47="7",BI47,0)</f>
        <v>0</v>
      </c>
      <c r="AF47" s="70">
        <f>IF(AQ47="2",BH47,0)</f>
        <v>0</v>
      </c>
      <c r="AG47" s="70">
        <f>IF(AQ47="2",BI47,0)</f>
        <v>0</v>
      </c>
      <c r="AH47" s="70">
        <f>IF(AQ47="0",BJ47,0)</f>
        <v>0</v>
      </c>
      <c r="AI47" s="65"/>
      <c r="AJ47" s="44">
        <f>IF(AN47=0,K47,0)</f>
        <v>0</v>
      </c>
      <c r="AK47" s="44">
        <f>IF(AN47=15,K47,0)</f>
        <v>0</v>
      </c>
      <c r="AL47" s="44">
        <f>IF(AN47=21,K47,0)</f>
        <v>0</v>
      </c>
      <c r="AN47" s="70">
        <v>21</v>
      </c>
      <c r="AO47" s="70">
        <f>H47*0.614194174757281</f>
        <v>0</v>
      </c>
      <c r="AP47" s="70">
        <f>H47*(1-0.614194174757281)</f>
        <v>0</v>
      </c>
      <c r="AQ47" s="64" t="s">
        <v>7</v>
      </c>
      <c r="AV47" s="70">
        <f>AW47+AX47</f>
        <v>0</v>
      </c>
      <c r="AW47" s="70">
        <f>G47*AO47</f>
        <v>0</v>
      </c>
      <c r="AX47" s="70">
        <f>G47*AP47</f>
        <v>0</v>
      </c>
      <c r="AY47" s="71" t="s">
        <v>229</v>
      </c>
      <c r="AZ47" s="71" t="s">
        <v>237</v>
      </c>
      <c r="BA47" s="65" t="s">
        <v>241</v>
      </c>
      <c r="BC47" s="70">
        <f>AW47+AX47</f>
        <v>0</v>
      </c>
      <c r="BD47" s="70">
        <f>H47/(100-BE47)*100</f>
        <v>0</v>
      </c>
      <c r="BE47" s="70">
        <v>0</v>
      </c>
      <c r="BF47" s="70">
        <f>47</f>
        <v>47</v>
      </c>
      <c r="BH47" s="44">
        <f>G47*AO47</f>
        <v>0</v>
      </c>
      <c r="BI47" s="44">
        <f>G47*AP47</f>
        <v>0</v>
      </c>
      <c r="BJ47" s="44">
        <f>G47*H47</f>
        <v>0</v>
      </c>
    </row>
    <row r="48" spans="1:62" ht="12.75">
      <c r="A48" s="10" t="s">
        <v>31</v>
      </c>
      <c r="B48" s="10" t="s">
        <v>82</v>
      </c>
      <c r="C48" s="10" t="s">
        <v>148</v>
      </c>
      <c r="D48" s="36"/>
      <c r="E48" s="36"/>
      <c r="F48" s="10" t="s">
        <v>193</v>
      </c>
      <c r="G48" s="44">
        <v>259.08</v>
      </c>
      <c r="H48" s="44">
        <v>0</v>
      </c>
      <c r="I48" s="44">
        <f>G48*AO48</f>
        <v>0</v>
      </c>
      <c r="J48" s="44">
        <f>G48*AP48</f>
        <v>0</v>
      </c>
      <c r="K48" s="44">
        <f>G48*H48</f>
        <v>0</v>
      </c>
      <c r="L48" s="64" t="s">
        <v>214</v>
      </c>
      <c r="Z48" s="70">
        <f>IF(AQ48="5",BJ48,0)</f>
        <v>0</v>
      </c>
      <c r="AB48" s="70">
        <f>IF(AQ48="1",BH48,0)</f>
        <v>0</v>
      </c>
      <c r="AC48" s="70">
        <f>IF(AQ48="1",BI48,0)</f>
        <v>0</v>
      </c>
      <c r="AD48" s="70">
        <f>IF(AQ48="7",BH48,0)</f>
        <v>0</v>
      </c>
      <c r="AE48" s="70">
        <f>IF(AQ48="7",BI48,0)</f>
        <v>0</v>
      </c>
      <c r="AF48" s="70">
        <f>IF(AQ48="2",BH48,0)</f>
        <v>0</v>
      </c>
      <c r="AG48" s="70">
        <f>IF(AQ48="2",BI48,0)</f>
        <v>0</v>
      </c>
      <c r="AH48" s="70">
        <f>IF(AQ48="0",BJ48,0)</f>
        <v>0</v>
      </c>
      <c r="AI48" s="65"/>
      <c r="AJ48" s="44">
        <f>IF(AN48=0,K48,0)</f>
        <v>0</v>
      </c>
      <c r="AK48" s="44">
        <f>IF(AN48=15,K48,0)</f>
        <v>0</v>
      </c>
      <c r="AL48" s="44">
        <f>IF(AN48=21,K48,0)</f>
        <v>0</v>
      </c>
      <c r="AN48" s="70">
        <v>21</v>
      </c>
      <c r="AO48" s="70">
        <f>H48*0.904138221135121</f>
        <v>0</v>
      </c>
      <c r="AP48" s="70">
        <f>H48*(1-0.904138221135121)</f>
        <v>0</v>
      </c>
      <c r="AQ48" s="64" t="s">
        <v>7</v>
      </c>
      <c r="AV48" s="70">
        <f>AW48+AX48</f>
        <v>0</v>
      </c>
      <c r="AW48" s="70">
        <f>G48*AO48</f>
        <v>0</v>
      </c>
      <c r="AX48" s="70">
        <f>G48*AP48</f>
        <v>0</v>
      </c>
      <c r="AY48" s="71" t="s">
        <v>229</v>
      </c>
      <c r="AZ48" s="71" t="s">
        <v>237</v>
      </c>
      <c r="BA48" s="65" t="s">
        <v>241</v>
      </c>
      <c r="BC48" s="70">
        <f>AW48+AX48</f>
        <v>0</v>
      </c>
      <c r="BD48" s="70">
        <f>H48/(100-BE48)*100</f>
        <v>0</v>
      </c>
      <c r="BE48" s="70">
        <v>0</v>
      </c>
      <c r="BF48" s="70">
        <f>48</f>
        <v>48</v>
      </c>
      <c r="BH48" s="44">
        <f>G48*AO48</f>
        <v>0</v>
      </c>
      <c r="BI48" s="44">
        <f>G48*AP48</f>
        <v>0</v>
      </c>
      <c r="BJ48" s="44">
        <f>G48*H48</f>
        <v>0</v>
      </c>
    </row>
    <row r="49" spans="1:47" ht="12.75">
      <c r="A49" s="11"/>
      <c r="B49" s="24" t="s">
        <v>83</v>
      </c>
      <c r="C49" s="24" t="s">
        <v>149</v>
      </c>
      <c r="D49" s="37"/>
      <c r="E49" s="37"/>
      <c r="F49" s="11" t="s">
        <v>6</v>
      </c>
      <c r="G49" s="11" t="s">
        <v>6</v>
      </c>
      <c r="H49" s="11" t="s">
        <v>6</v>
      </c>
      <c r="I49" s="73">
        <f>SUM(I50:I54)</f>
        <v>0</v>
      </c>
      <c r="J49" s="73">
        <f>SUM(J50:J54)</f>
        <v>0</v>
      </c>
      <c r="K49" s="73">
        <f>SUM(K50:K54)</f>
        <v>0</v>
      </c>
      <c r="L49" s="65"/>
      <c r="AI49" s="65"/>
      <c r="AS49" s="73">
        <f>SUM(AJ50:AJ54)</f>
        <v>0</v>
      </c>
      <c r="AT49" s="73">
        <f>SUM(AK50:AK54)</f>
        <v>0</v>
      </c>
      <c r="AU49" s="73">
        <f>SUM(AL50:AL54)</f>
        <v>0</v>
      </c>
    </row>
    <row r="50" spans="1:62" ht="12.75">
      <c r="A50" s="10" t="s">
        <v>32</v>
      </c>
      <c r="B50" s="10" t="s">
        <v>84</v>
      </c>
      <c r="C50" s="10" t="s">
        <v>150</v>
      </c>
      <c r="D50" s="36"/>
      <c r="E50" s="36"/>
      <c r="F50" s="10" t="s">
        <v>193</v>
      </c>
      <c r="G50" s="44">
        <v>77.29</v>
      </c>
      <c r="H50" s="44">
        <v>0</v>
      </c>
      <c r="I50" s="44">
        <f>G50*AO50</f>
        <v>0</v>
      </c>
      <c r="J50" s="44">
        <f>G50*AP50</f>
        <v>0</v>
      </c>
      <c r="K50" s="44">
        <f>G50*H50</f>
        <v>0</v>
      </c>
      <c r="L50" s="64" t="s">
        <v>214</v>
      </c>
      <c r="Z50" s="70">
        <f>IF(AQ50="5",BJ50,0)</f>
        <v>0</v>
      </c>
      <c r="AB50" s="70">
        <f>IF(AQ50="1",BH50,0)</f>
        <v>0</v>
      </c>
      <c r="AC50" s="70">
        <f>IF(AQ50="1",BI50,0)</f>
        <v>0</v>
      </c>
      <c r="AD50" s="70">
        <f>IF(AQ50="7",BH50,0)</f>
        <v>0</v>
      </c>
      <c r="AE50" s="70">
        <f>IF(AQ50="7",BI50,0)</f>
        <v>0</v>
      </c>
      <c r="AF50" s="70">
        <f>IF(AQ50="2",BH50,0)</f>
        <v>0</v>
      </c>
      <c r="AG50" s="70">
        <f>IF(AQ50="2",BI50,0)</f>
        <v>0</v>
      </c>
      <c r="AH50" s="70">
        <f>IF(AQ50="0",BJ50,0)</f>
        <v>0</v>
      </c>
      <c r="AI50" s="65"/>
      <c r="AJ50" s="44">
        <f>IF(AN50=0,K50,0)</f>
        <v>0</v>
      </c>
      <c r="AK50" s="44">
        <f>IF(AN50=15,K50,0)</f>
        <v>0</v>
      </c>
      <c r="AL50" s="44">
        <f>IF(AN50=21,K50,0)</f>
        <v>0</v>
      </c>
      <c r="AN50" s="70">
        <v>21</v>
      </c>
      <c r="AO50" s="70">
        <f>H50*0.170561748162328</f>
        <v>0</v>
      </c>
      <c r="AP50" s="70">
        <f>H50*(1-0.170561748162328)</f>
        <v>0</v>
      </c>
      <c r="AQ50" s="64" t="s">
        <v>7</v>
      </c>
      <c r="AV50" s="70">
        <f>AW50+AX50</f>
        <v>0</v>
      </c>
      <c r="AW50" s="70">
        <f>G50*AO50</f>
        <v>0</v>
      </c>
      <c r="AX50" s="70">
        <f>G50*AP50</f>
        <v>0</v>
      </c>
      <c r="AY50" s="71" t="s">
        <v>230</v>
      </c>
      <c r="AZ50" s="71" t="s">
        <v>237</v>
      </c>
      <c r="BA50" s="65" t="s">
        <v>241</v>
      </c>
      <c r="BC50" s="70">
        <f>AW50+AX50</f>
        <v>0</v>
      </c>
      <c r="BD50" s="70">
        <f>H50/(100-BE50)*100</f>
        <v>0</v>
      </c>
      <c r="BE50" s="70">
        <v>0</v>
      </c>
      <c r="BF50" s="70">
        <f>50</f>
        <v>50</v>
      </c>
      <c r="BH50" s="44">
        <f>G50*AO50</f>
        <v>0</v>
      </c>
      <c r="BI50" s="44">
        <f>G50*AP50</f>
        <v>0</v>
      </c>
      <c r="BJ50" s="44">
        <f>G50*H50</f>
        <v>0</v>
      </c>
    </row>
    <row r="51" spans="2:12" ht="25.5" customHeight="1">
      <c r="B51" s="25" t="s">
        <v>70</v>
      </c>
      <c r="C51" s="30" t="s">
        <v>151</v>
      </c>
      <c r="D51" s="38"/>
      <c r="E51" s="38"/>
      <c r="F51" s="38"/>
      <c r="G51" s="38"/>
      <c r="H51" s="38"/>
      <c r="I51" s="38"/>
      <c r="J51" s="38"/>
      <c r="K51" s="38"/>
      <c r="L51" s="38"/>
    </row>
    <row r="52" spans="1:62" ht="12.75">
      <c r="A52" s="10" t="s">
        <v>33</v>
      </c>
      <c r="B52" s="10" t="s">
        <v>85</v>
      </c>
      <c r="C52" s="10" t="s">
        <v>152</v>
      </c>
      <c r="D52" s="36"/>
      <c r="E52" s="36"/>
      <c r="F52" s="10" t="s">
        <v>193</v>
      </c>
      <c r="G52" s="44">
        <v>77.29</v>
      </c>
      <c r="H52" s="44">
        <v>0</v>
      </c>
      <c r="I52" s="44">
        <f>G52*AO52</f>
        <v>0</v>
      </c>
      <c r="J52" s="44">
        <f>G52*AP52</f>
        <v>0</v>
      </c>
      <c r="K52" s="44">
        <f>G52*H52</f>
        <v>0</v>
      </c>
      <c r="L52" s="64" t="s">
        <v>214</v>
      </c>
      <c r="Z52" s="70">
        <f>IF(AQ52="5",BJ52,0)</f>
        <v>0</v>
      </c>
      <c r="AB52" s="70">
        <f>IF(AQ52="1",BH52,0)</f>
        <v>0</v>
      </c>
      <c r="AC52" s="70">
        <f>IF(AQ52="1",BI52,0)</f>
        <v>0</v>
      </c>
      <c r="AD52" s="70">
        <f>IF(AQ52="7",BH52,0)</f>
        <v>0</v>
      </c>
      <c r="AE52" s="70">
        <f>IF(AQ52="7",BI52,0)</f>
        <v>0</v>
      </c>
      <c r="AF52" s="70">
        <f>IF(AQ52="2",BH52,0)</f>
        <v>0</v>
      </c>
      <c r="AG52" s="70">
        <f>IF(AQ52="2",BI52,0)</f>
        <v>0</v>
      </c>
      <c r="AH52" s="70">
        <f>IF(AQ52="0",BJ52,0)</f>
        <v>0</v>
      </c>
      <c r="AI52" s="65"/>
      <c r="AJ52" s="44">
        <f>IF(AN52=0,K52,0)</f>
        <v>0</v>
      </c>
      <c r="AK52" s="44">
        <f>IF(AN52=15,K52,0)</f>
        <v>0</v>
      </c>
      <c r="AL52" s="44">
        <f>IF(AN52=21,K52,0)</f>
        <v>0</v>
      </c>
      <c r="AN52" s="70">
        <v>21</v>
      </c>
      <c r="AO52" s="70">
        <f>H52*0</f>
        <v>0</v>
      </c>
      <c r="AP52" s="70">
        <f>H52*(1-0)</f>
        <v>0</v>
      </c>
      <c r="AQ52" s="64" t="s">
        <v>7</v>
      </c>
      <c r="AV52" s="70">
        <f>AW52+AX52</f>
        <v>0</v>
      </c>
      <c r="AW52" s="70">
        <f>G52*AO52</f>
        <v>0</v>
      </c>
      <c r="AX52" s="70">
        <f>G52*AP52</f>
        <v>0</v>
      </c>
      <c r="AY52" s="71" t="s">
        <v>230</v>
      </c>
      <c r="AZ52" s="71" t="s">
        <v>237</v>
      </c>
      <c r="BA52" s="65" t="s">
        <v>241</v>
      </c>
      <c r="BC52" s="70">
        <f>AW52+AX52</f>
        <v>0</v>
      </c>
      <c r="BD52" s="70">
        <f>H52/(100-BE52)*100</f>
        <v>0</v>
      </c>
      <c r="BE52" s="70">
        <v>0</v>
      </c>
      <c r="BF52" s="70">
        <f>52</f>
        <v>52</v>
      </c>
      <c r="BH52" s="44">
        <f>G52*AO52</f>
        <v>0</v>
      </c>
      <c r="BI52" s="44">
        <f>G52*AP52</f>
        <v>0</v>
      </c>
      <c r="BJ52" s="44">
        <f>G52*H52</f>
        <v>0</v>
      </c>
    </row>
    <row r="53" spans="2:12" ht="12.75">
      <c r="B53" s="25" t="s">
        <v>70</v>
      </c>
      <c r="C53" s="30" t="s">
        <v>153</v>
      </c>
      <c r="D53" s="38"/>
      <c r="E53" s="38"/>
      <c r="F53" s="38"/>
      <c r="G53" s="38"/>
      <c r="H53" s="38"/>
      <c r="I53" s="38"/>
      <c r="J53" s="38"/>
      <c r="K53" s="38"/>
      <c r="L53" s="38"/>
    </row>
    <row r="54" spans="1:62" ht="12.75">
      <c r="A54" s="10" t="s">
        <v>34</v>
      </c>
      <c r="B54" s="10" t="s">
        <v>86</v>
      </c>
      <c r="C54" s="10" t="s">
        <v>154</v>
      </c>
      <c r="D54" s="36"/>
      <c r="E54" s="36"/>
      <c r="F54" s="10" t="s">
        <v>194</v>
      </c>
      <c r="G54" s="44">
        <v>77.29</v>
      </c>
      <c r="H54" s="44">
        <v>0</v>
      </c>
      <c r="I54" s="44">
        <f>G54*AO54</f>
        <v>0</v>
      </c>
      <c r="J54" s="44">
        <f>G54*AP54</f>
        <v>0</v>
      </c>
      <c r="K54" s="44">
        <f>G54*H54</f>
        <v>0</v>
      </c>
      <c r="L54" s="64" t="s">
        <v>214</v>
      </c>
      <c r="Z54" s="70">
        <f>IF(AQ54="5",BJ54,0)</f>
        <v>0</v>
      </c>
      <c r="AB54" s="70">
        <f>IF(AQ54="1",BH54,0)</f>
        <v>0</v>
      </c>
      <c r="AC54" s="70">
        <f>IF(AQ54="1",BI54,0)</f>
        <v>0</v>
      </c>
      <c r="AD54" s="70">
        <f>IF(AQ54="7",BH54,0)</f>
        <v>0</v>
      </c>
      <c r="AE54" s="70">
        <f>IF(AQ54="7",BI54,0)</f>
        <v>0</v>
      </c>
      <c r="AF54" s="70">
        <f>IF(AQ54="2",BH54,0)</f>
        <v>0</v>
      </c>
      <c r="AG54" s="70">
        <f>IF(AQ54="2",BI54,0)</f>
        <v>0</v>
      </c>
      <c r="AH54" s="70">
        <f>IF(AQ54="0",BJ54,0)</f>
        <v>0</v>
      </c>
      <c r="AI54" s="65"/>
      <c r="AJ54" s="44">
        <f>IF(AN54=0,K54,0)</f>
        <v>0</v>
      </c>
      <c r="AK54" s="44">
        <f>IF(AN54=15,K54,0)</f>
        <v>0</v>
      </c>
      <c r="AL54" s="44">
        <f>IF(AN54=21,K54,0)</f>
        <v>0</v>
      </c>
      <c r="AN54" s="70">
        <v>21</v>
      </c>
      <c r="AO54" s="70">
        <f>H54*0.0654228855721393</f>
        <v>0</v>
      </c>
      <c r="AP54" s="70">
        <f>H54*(1-0.0654228855721393)</f>
        <v>0</v>
      </c>
      <c r="AQ54" s="64" t="s">
        <v>7</v>
      </c>
      <c r="AV54" s="70">
        <f>AW54+AX54</f>
        <v>0</v>
      </c>
      <c r="AW54" s="70">
        <f>G54*AO54</f>
        <v>0</v>
      </c>
      <c r="AX54" s="70">
        <f>G54*AP54</f>
        <v>0</v>
      </c>
      <c r="AY54" s="71" t="s">
        <v>230</v>
      </c>
      <c r="AZ54" s="71" t="s">
        <v>237</v>
      </c>
      <c r="BA54" s="65" t="s">
        <v>241</v>
      </c>
      <c r="BC54" s="70">
        <f>AW54+AX54</f>
        <v>0</v>
      </c>
      <c r="BD54" s="70">
        <f>H54/(100-BE54)*100</f>
        <v>0</v>
      </c>
      <c r="BE54" s="70">
        <v>0</v>
      </c>
      <c r="BF54" s="70">
        <f>54</f>
        <v>54</v>
      </c>
      <c r="BH54" s="44">
        <f>G54*AO54</f>
        <v>0</v>
      </c>
      <c r="BI54" s="44">
        <f>G54*AP54</f>
        <v>0</v>
      </c>
      <c r="BJ54" s="44">
        <f>G54*H54</f>
        <v>0</v>
      </c>
    </row>
    <row r="55" spans="1:47" ht="12.75">
      <c r="A55" s="11"/>
      <c r="B55" s="24" t="s">
        <v>87</v>
      </c>
      <c r="C55" s="24" t="s">
        <v>155</v>
      </c>
      <c r="D55" s="37"/>
      <c r="E55" s="37"/>
      <c r="F55" s="11" t="s">
        <v>6</v>
      </c>
      <c r="G55" s="11" t="s">
        <v>6</v>
      </c>
      <c r="H55" s="11" t="s">
        <v>6</v>
      </c>
      <c r="I55" s="73">
        <f>SUM(I56:I56)</f>
        <v>0</v>
      </c>
      <c r="J55" s="73">
        <f>SUM(J56:J56)</f>
        <v>0</v>
      </c>
      <c r="K55" s="73">
        <f>SUM(K56:K56)</f>
        <v>0</v>
      </c>
      <c r="L55" s="65"/>
      <c r="AI55" s="65"/>
      <c r="AS55" s="73">
        <f>SUM(AJ56:AJ56)</f>
        <v>0</v>
      </c>
      <c r="AT55" s="73">
        <f>SUM(AK56:AK56)</f>
        <v>0</v>
      </c>
      <c r="AU55" s="73">
        <f>SUM(AL56:AL56)</f>
        <v>0</v>
      </c>
    </row>
    <row r="56" spans="1:62" ht="12.75">
      <c r="A56" s="10" t="s">
        <v>35</v>
      </c>
      <c r="B56" s="10" t="s">
        <v>88</v>
      </c>
      <c r="C56" s="10" t="s">
        <v>156</v>
      </c>
      <c r="D56" s="36"/>
      <c r="E56" s="36"/>
      <c r="F56" s="10" t="s">
        <v>194</v>
      </c>
      <c r="G56" s="44">
        <v>50</v>
      </c>
      <c r="H56" s="44">
        <v>0</v>
      </c>
      <c r="I56" s="44">
        <f>G56*AO56</f>
        <v>0</v>
      </c>
      <c r="J56" s="44">
        <f>G56*AP56</f>
        <v>0</v>
      </c>
      <c r="K56" s="44">
        <f>G56*H56</f>
        <v>0</v>
      </c>
      <c r="L56" s="64" t="s">
        <v>214</v>
      </c>
      <c r="Z56" s="70">
        <f>IF(AQ56="5",BJ56,0)</f>
        <v>0</v>
      </c>
      <c r="AB56" s="70">
        <f>IF(AQ56="1",BH56,0)</f>
        <v>0</v>
      </c>
      <c r="AC56" s="70">
        <f>IF(AQ56="1",BI56,0)</f>
        <v>0</v>
      </c>
      <c r="AD56" s="70">
        <f>IF(AQ56="7",BH56,0)</f>
        <v>0</v>
      </c>
      <c r="AE56" s="70">
        <f>IF(AQ56="7",BI56,0)</f>
        <v>0</v>
      </c>
      <c r="AF56" s="70">
        <f>IF(AQ56="2",BH56,0)</f>
        <v>0</v>
      </c>
      <c r="AG56" s="70">
        <f>IF(AQ56="2",BI56,0)</f>
        <v>0</v>
      </c>
      <c r="AH56" s="70">
        <f>IF(AQ56="0",BJ56,0)</f>
        <v>0</v>
      </c>
      <c r="AI56" s="65"/>
      <c r="AJ56" s="44">
        <f>IF(AN56=0,K56,0)</f>
        <v>0</v>
      </c>
      <c r="AK56" s="44">
        <f>IF(AN56=15,K56,0)</f>
        <v>0</v>
      </c>
      <c r="AL56" s="44">
        <f>IF(AN56=21,K56,0)</f>
        <v>0</v>
      </c>
      <c r="AN56" s="70">
        <v>21</v>
      </c>
      <c r="AO56" s="70">
        <f>H56*0.21511482443411</f>
        <v>0</v>
      </c>
      <c r="AP56" s="70">
        <f>H56*(1-0.21511482443411)</f>
        <v>0</v>
      </c>
      <c r="AQ56" s="64" t="s">
        <v>7</v>
      </c>
      <c r="AV56" s="70">
        <f>AW56+AX56</f>
        <v>0</v>
      </c>
      <c r="AW56" s="70">
        <f>G56*AO56</f>
        <v>0</v>
      </c>
      <c r="AX56" s="70">
        <f>G56*AP56</f>
        <v>0</v>
      </c>
      <c r="AY56" s="71" t="s">
        <v>231</v>
      </c>
      <c r="AZ56" s="71" t="s">
        <v>238</v>
      </c>
      <c r="BA56" s="65" t="s">
        <v>241</v>
      </c>
      <c r="BC56" s="70">
        <f>AW56+AX56</f>
        <v>0</v>
      </c>
      <c r="BD56" s="70">
        <f>H56/(100-BE56)*100</f>
        <v>0</v>
      </c>
      <c r="BE56" s="70">
        <v>0</v>
      </c>
      <c r="BF56" s="70">
        <f>56</f>
        <v>56</v>
      </c>
      <c r="BH56" s="44">
        <f>G56*AO56</f>
        <v>0</v>
      </c>
      <c r="BI56" s="44">
        <f>G56*AP56</f>
        <v>0</v>
      </c>
      <c r="BJ56" s="44">
        <f>G56*H56</f>
        <v>0</v>
      </c>
    </row>
    <row r="57" spans="2:12" ht="38.25" customHeight="1">
      <c r="B57" s="25" t="s">
        <v>70</v>
      </c>
      <c r="C57" s="30" t="s">
        <v>157</v>
      </c>
      <c r="D57" s="38"/>
      <c r="E57" s="38"/>
      <c r="F57" s="38"/>
      <c r="G57" s="38"/>
      <c r="H57" s="38"/>
      <c r="I57" s="38"/>
      <c r="J57" s="38"/>
      <c r="K57" s="38"/>
      <c r="L57" s="38"/>
    </row>
    <row r="58" spans="1:47" ht="12.75">
      <c r="A58" s="11"/>
      <c r="B58" s="24" t="s">
        <v>89</v>
      </c>
      <c r="C58" s="24" t="s">
        <v>158</v>
      </c>
      <c r="D58" s="37"/>
      <c r="E58" s="37"/>
      <c r="F58" s="11" t="s">
        <v>6</v>
      </c>
      <c r="G58" s="11" t="s">
        <v>6</v>
      </c>
      <c r="H58" s="11" t="s">
        <v>6</v>
      </c>
      <c r="I58" s="73">
        <f>SUM(I59:I70)</f>
        <v>0</v>
      </c>
      <c r="J58" s="73">
        <f>SUM(J59:J70)</f>
        <v>0</v>
      </c>
      <c r="K58" s="73">
        <f>SUM(K59:K70)</f>
        <v>0</v>
      </c>
      <c r="L58" s="65"/>
      <c r="AI58" s="65"/>
      <c r="AS58" s="73">
        <f>SUM(AJ59:AJ70)</f>
        <v>0</v>
      </c>
      <c r="AT58" s="73">
        <f>SUM(AK59:AK70)</f>
        <v>0</v>
      </c>
      <c r="AU58" s="73">
        <f>SUM(AL59:AL70)</f>
        <v>0</v>
      </c>
    </row>
    <row r="59" spans="1:62" ht="12.75">
      <c r="A59" s="10" t="s">
        <v>36</v>
      </c>
      <c r="B59" s="10" t="s">
        <v>90</v>
      </c>
      <c r="C59" s="10" t="s">
        <v>159</v>
      </c>
      <c r="D59" s="36"/>
      <c r="E59" s="36"/>
      <c r="F59" s="10" t="s">
        <v>194</v>
      </c>
      <c r="G59" s="44">
        <v>38</v>
      </c>
      <c r="H59" s="44">
        <v>0</v>
      </c>
      <c r="I59" s="44">
        <f>G59*AO59</f>
        <v>0</v>
      </c>
      <c r="J59" s="44">
        <f>G59*AP59</f>
        <v>0</v>
      </c>
      <c r="K59" s="44">
        <f>G59*H59</f>
        <v>0</v>
      </c>
      <c r="L59" s="64" t="s">
        <v>214</v>
      </c>
      <c r="Z59" s="70">
        <f>IF(AQ59="5",BJ59,0)</f>
        <v>0</v>
      </c>
      <c r="AB59" s="70">
        <f>IF(AQ59="1",BH59,0)</f>
        <v>0</v>
      </c>
      <c r="AC59" s="70">
        <f>IF(AQ59="1",BI59,0)</f>
        <v>0</v>
      </c>
      <c r="AD59" s="70">
        <f>IF(AQ59="7",BH59,0)</f>
        <v>0</v>
      </c>
      <c r="AE59" s="70">
        <f>IF(AQ59="7",BI59,0)</f>
        <v>0</v>
      </c>
      <c r="AF59" s="70">
        <f>IF(AQ59="2",BH59,0)</f>
        <v>0</v>
      </c>
      <c r="AG59" s="70">
        <f>IF(AQ59="2",BI59,0)</f>
        <v>0</v>
      </c>
      <c r="AH59" s="70">
        <f>IF(AQ59="0",BJ59,0)</f>
        <v>0</v>
      </c>
      <c r="AI59" s="65"/>
      <c r="AJ59" s="44">
        <f>IF(AN59=0,K59,0)</f>
        <v>0</v>
      </c>
      <c r="AK59" s="44">
        <f>IF(AN59=15,K59,0)</f>
        <v>0</v>
      </c>
      <c r="AL59" s="44">
        <f>IF(AN59=21,K59,0)</f>
        <v>0</v>
      </c>
      <c r="AN59" s="70">
        <v>21</v>
      </c>
      <c r="AO59" s="70">
        <f>H59*0.160912343470483</f>
        <v>0</v>
      </c>
      <c r="AP59" s="70">
        <f>H59*(1-0.160912343470483)</f>
        <v>0</v>
      </c>
      <c r="AQ59" s="64" t="s">
        <v>7</v>
      </c>
      <c r="AV59" s="70">
        <f>AW59+AX59</f>
        <v>0</v>
      </c>
      <c r="AW59" s="70">
        <f>G59*AO59</f>
        <v>0</v>
      </c>
      <c r="AX59" s="70">
        <f>G59*AP59</f>
        <v>0</v>
      </c>
      <c r="AY59" s="71" t="s">
        <v>232</v>
      </c>
      <c r="AZ59" s="71" t="s">
        <v>239</v>
      </c>
      <c r="BA59" s="65" t="s">
        <v>241</v>
      </c>
      <c r="BC59" s="70">
        <f>AW59+AX59</f>
        <v>0</v>
      </c>
      <c r="BD59" s="70">
        <f>H59/(100-BE59)*100</f>
        <v>0</v>
      </c>
      <c r="BE59" s="70">
        <v>0</v>
      </c>
      <c r="BF59" s="70">
        <f>59</f>
        <v>59</v>
      </c>
      <c r="BH59" s="44">
        <f>G59*AO59</f>
        <v>0</v>
      </c>
      <c r="BI59" s="44">
        <f>G59*AP59</f>
        <v>0</v>
      </c>
      <c r="BJ59" s="44">
        <f>G59*H59</f>
        <v>0</v>
      </c>
    </row>
    <row r="60" spans="1:62" ht="12.75">
      <c r="A60" s="10" t="s">
        <v>37</v>
      </c>
      <c r="B60" s="10" t="s">
        <v>91</v>
      </c>
      <c r="C60" s="10" t="s">
        <v>160</v>
      </c>
      <c r="D60" s="36"/>
      <c r="E60" s="36"/>
      <c r="F60" s="10" t="s">
        <v>196</v>
      </c>
      <c r="G60" s="44">
        <v>2</v>
      </c>
      <c r="H60" s="44">
        <v>0</v>
      </c>
      <c r="I60" s="44">
        <f>G60*AO60</f>
        <v>0</v>
      </c>
      <c r="J60" s="44">
        <f>G60*AP60</f>
        <v>0</v>
      </c>
      <c r="K60" s="44">
        <f>G60*H60</f>
        <v>0</v>
      </c>
      <c r="L60" s="64" t="s">
        <v>214</v>
      </c>
      <c r="Z60" s="70">
        <f>IF(AQ60="5",BJ60,0)</f>
        <v>0</v>
      </c>
      <c r="AB60" s="70">
        <f>IF(AQ60="1",BH60,0)</f>
        <v>0</v>
      </c>
      <c r="AC60" s="70">
        <f>IF(AQ60="1",BI60,0)</f>
        <v>0</v>
      </c>
      <c r="AD60" s="70">
        <f>IF(AQ60="7",BH60,0)</f>
        <v>0</v>
      </c>
      <c r="AE60" s="70">
        <f>IF(AQ60="7",BI60,0)</f>
        <v>0</v>
      </c>
      <c r="AF60" s="70">
        <f>IF(AQ60="2",BH60,0)</f>
        <v>0</v>
      </c>
      <c r="AG60" s="70">
        <f>IF(AQ60="2",BI60,0)</f>
        <v>0</v>
      </c>
      <c r="AH60" s="70">
        <f>IF(AQ60="0",BJ60,0)</f>
        <v>0</v>
      </c>
      <c r="AI60" s="65"/>
      <c r="AJ60" s="44">
        <f>IF(AN60=0,K60,0)</f>
        <v>0</v>
      </c>
      <c r="AK60" s="44">
        <f>IF(AN60=15,K60,0)</f>
        <v>0</v>
      </c>
      <c r="AL60" s="44">
        <f>IF(AN60=21,K60,0)</f>
        <v>0</v>
      </c>
      <c r="AN60" s="70">
        <v>21</v>
      </c>
      <c r="AO60" s="70">
        <f>H60*0.415170278637771</f>
        <v>0</v>
      </c>
      <c r="AP60" s="70">
        <f>H60*(1-0.415170278637771)</f>
        <v>0</v>
      </c>
      <c r="AQ60" s="64" t="s">
        <v>7</v>
      </c>
      <c r="AV60" s="70">
        <f>AW60+AX60</f>
        <v>0</v>
      </c>
      <c r="AW60" s="70">
        <f>G60*AO60</f>
        <v>0</v>
      </c>
      <c r="AX60" s="70">
        <f>G60*AP60</f>
        <v>0</v>
      </c>
      <c r="AY60" s="71" t="s">
        <v>232</v>
      </c>
      <c r="AZ60" s="71" t="s">
        <v>239</v>
      </c>
      <c r="BA60" s="65" t="s">
        <v>241</v>
      </c>
      <c r="BC60" s="70">
        <f>AW60+AX60</f>
        <v>0</v>
      </c>
      <c r="BD60" s="70">
        <f>H60/(100-BE60)*100</f>
        <v>0</v>
      </c>
      <c r="BE60" s="70">
        <v>0</v>
      </c>
      <c r="BF60" s="70">
        <f>60</f>
        <v>60</v>
      </c>
      <c r="BH60" s="44">
        <f>G60*AO60</f>
        <v>0</v>
      </c>
      <c r="BI60" s="44">
        <f>G60*AP60</f>
        <v>0</v>
      </c>
      <c r="BJ60" s="44">
        <f>G60*H60</f>
        <v>0</v>
      </c>
    </row>
    <row r="61" spans="2:12" ht="12.75">
      <c r="B61" s="25" t="s">
        <v>70</v>
      </c>
      <c r="C61" s="30" t="s">
        <v>161</v>
      </c>
      <c r="D61" s="38"/>
      <c r="E61" s="38"/>
      <c r="F61" s="38"/>
      <c r="G61" s="38"/>
      <c r="H61" s="38"/>
      <c r="I61" s="38"/>
      <c r="J61" s="38"/>
      <c r="K61" s="38"/>
      <c r="L61" s="38"/>
    </row>
    <row r="62" spans="1:62" ht="12.75">
      <c r="A62" s="10" t="s">
        <v>38</v>
      </c>
      <c r="B62" s="10" t="s">
        <v>92</v>
      </c>
      <c r="C62" s="10" t="s">
        <v>162</v>
      </c>
      <c r="D62" s="36"/>
      <c r="E62" s="36"/>
      <c r="F62" s="10" t="s">
        <v>194</v>
      </c>
      <c r="G62" s="44">
        <v>78.8</v>
      </c>
      <c r="H62" s="44">
        <v>0</v>
      </c>
      <c r="I62" s="44">
        <f>G62*AO62</f>
        <v>0</v>
      </c>
      <c r="J62" s="44">
        <f>G62*AP62</f>
        <v>0</v>
      </c>
      <c r="K62" s="44">
        <f>G62*H62</f>
        <v>0</v>
      </c>
      <c r="L62" s="64" t="s">
        <v>214</v>
      </c>
      <c r="Z62" s="70">
        <f>IF(AQ62="5",BJ62,0)</f>
        <v>0</v>
      </c>
      <c r="AB62" s="70">
        <f>IF(AQ62="1",BH62,0)</f>
        <v>0</v>
      </c>
      <c r="AC62" s="70">
        <f>IF(AQ62="1",BI62,0)</f>
        <v>0</v>
      </c>
      <c r="AD62" s="70">
        <f>IF(AQ62="7",BH62,0)</f>
        <v>0</v>
      </c>
      <c r="AE62" s="70">
        <f>IF(AQ62="7",BI62,0)</f>
        <v>0</v>
      </c>
      <c r="AF62" s="70">
        <f>IF(AQ62="2",BH62,0)</f>
        <v>0</v>
      </c>
      <c r="AG62" s="70">
        <f>IF(AQ62="2",BI62,0)</f>
        <v>0</v>
      </c>
      <c r="AH62" s="70">
        <f>IF(AQ62="0",BJ62,0)</f>
        <v>0</v>
      </c>
      <c r="AI62" s="65"/>
      <c r="AJ62" s="44">
        <f>IF(AN62=0,K62,0)</f>
        <v>0</v>
      </c>
      <c r="AK62" s="44">
        <f>IF(AN62=15,K62,0)</f>
        <v>0</v>
      </c>
      <c r="AL62" s="44">
        <f>IF(AN62=21,K62,0)</f>
        <v>0</v>
      </c>
      <c r="AN62" s="70">
        <v>21</v>
      </c>
      <c r="AO62" s="70">
        <f>H62*0.890905511811024</f>
        <v>0</v>
      </c>
      <c r="AP62" s="70">
        <f>H62*(1-0.890905511811024)</f>
        <v>0</v>
      </c>
      <c r="AQ62" s="64" t="s">
        <v>7</v>
      </c>
      <c r="AV62" s="70">
        <f>AW62+AX62</f>
        <v>0</v>
      </c>
      <c r="AW62" s="70">
        <f>G62*AO62</f>
        <v>0</v>
      </c>
      <c r="AX62" s="70">
        <f>G62*AP62</f>
        <v>0</v>
      </c>
      <c r="AY62" s="71" t="s">
        <v>232</v>
      </c>
      <c r="AZ62" s="71" t="s">
        <v>239</v>
      </c>
      <c r="BA62" s="65" t="s">
        <v>241</v>
      </c>
      <c r="BC62" s="70">
        <f>AW62+AX62</f>
        <v>0</v>
      </c>
      <c r="BD62" s="70">
        <f>H62/(100-BE62)*100</f>
        <v>0</v>
      </c>
      <c r="BE62" s="70">
        <v>0</v>
      </c>
      <c r="BF62" s="70">
        <f>62</f>
        <v>62</v>
      </c>
      <c r="BH62" s="44">
        <f>G62*AO62</f>
        <v>0</v>
      </c>
      <c r="BI62" s="44">
        <f>G62*AP62</f>
        <v>0</v>
      </c>
      <c r="BJ62" s="44">
        <f>G62*H62</f>
        <v>0</v>
      </c>
    </row>
    <row r="63" spans="1:62" ht="12.75">
      <c r="A63" s="10" t="s">
        <v>39</v>
      </c>
      <c r="B63" s="10" t="s">
        <v>93</v>
      </c>
      <c r="C63" s="10" t="s">
        <v>163</v>
      </c>
      <c r="D63" s="36"/>
      <c r="E63" s="36"/>
      <c r="F63" s="10" t="s">
        <v>194</v>
      </c>
      <c r="G63" s="44">
        <v>37</v>
      </c>
      <c r="H63" s="44">
        <v>0</v>
      </c>
      <c r="I63" s="44">
        <f>G63*AO63</f>
        <v>0</v>
      </c>
      <c r="J63" s="44">
        <f>G63*AP63</f>
        <v>0</v>
      </c>
      <c r="K63" s="44">
        <f>G63*H63</f>
        <v>0</v>
      </c>
      <c r="L63" s="64" t="s">
        <v>214</v>
      </c>
      <c r="Z63" s="70">
        <f>IF(AQ63="5",BJ63,0)</f>
        <v>0</v>
      </c>
      <c r="AB63" s="70">
        <f>IF(AQ63="1",BH63,0)</f>
        <v>0</v>
      </c>
      <c r="AC63" s="70">
        <f>IF(AQ63="1",BI63,0)</f>
        <v>0</v>
      </c>
      <c r="AD63" s="70">
        <f>IF(AQ63="7",BH63,0)</f>
        <v>0</v>
      </c>
      <c r="AE63" s="70">
        <f>IF(AQ63="7",BI63,0)</f>
        <v>0</v>
      </c>
      <c r="AF63" s="70">
        <f>IF(AQ63="2",BH63,0)</f>
        <v>0</v>
      </c>
      <c r="AG63" s="70">
        <f>IF(AQ63="2",BI63,0)</f>
        <v>0</v>
      </c>
      <c r="AH63" s="70">
        <f>IF(AQ63="0",BJ63,0)</f>
        <v>0</v>
      </c>
      <c r="AI63" s="65"/>
      <c r="AJ63" s="44">
        <f>IF(AN63=0,K63,0)</f>
        <v>0</v>
      </c>
      <c r="AK63" s="44">
        <f>IF(AN63=15,K63,0)</f>
        <v>0</v>
      </c>
      <c r="AL63" s="44">
        <f>IF(AN63=21,K63,0)</f>
        <v>0</v>
      </c>
      <c r="AN63" s="70">
        <v>21</v>
      </c>
      <c r="AO63" s="70">
        <f>H63*0.871660231660232</f>
        <v>0</v>
      </c>
      <c r="AP63" s="70">
        <f>H63*(1-0.871660231660232)</f>
        <v>0</v>
      </c>
      <c r="AQ63" s="64" t="s">
        <v>7</v>
      </c>
      <c r="AV63" s="70">
        <f>AW63+AX63</f>
        <v>0</v>
      </c>
      <c r="AW63" s="70">
        <f>G63*AO63</f>
        <v>0</v>
      </c>
      <c r="AX63" s="70">
        <f>G63*AP63</f>
        <v>0</v>
      </c>
      <c r="AY63" s="71" t="s">
        <v>232</v>
      </c>
      <c r="AZ63" s="71" t="s">
        <v>239</v>
      </c>
      <c r="BA63" s="65" t="s">
        <v>241</v>
      </c>
      <c r="BC63" s="70">
        <f>AW63+AX63</f>
        <v>0</v>
      </c>
      <c r="BD63" s="70">
        <f>H63/(100-BE63)*100</f>
        <v>0</v>
      </c>
      <c r="BE63" s="70">
        <v>0</v>
      </c>
      <c r="BF63" s="70">
        <f>63</f>
        <v>63</v>
      </c>
      <c r="BH63" s="44">
        <f>G63*AO63</f>
        <v>0</v>
      </c>
      <c r="BI63" s="44">
        <f>G63*AP63</f>
        <v>0</v>
      </c>
      <c r="BJ63" s="44">
        <f>G63*H63</f>
        <v>0</v>
      </c>
    </row>
    <row r="64" spans="1:62" ht="12.75">
      <c r="A64" s="10" t="s">
        <v>40</v>
      </c>
      <c r="B64" s="10" t="s">
        <v>94</v>
      </c>
      <c r="C64" s="10" t="s">
        <v>164</v>
      </c>
      <c r="D64" s="36"/>
      <c r="E64" s="36"/>
      <c r="F64" s="10" t="s">
        <v>194</v>
      </c>
      <c r="G64" s="44">
        <v>66.9</v>
      </c>
      <c r="H64" s="44">
        <v>0</v>
      </c>
      <c r="I64" s="44">
        <f>G64*AO64</f>
        <v>0</v>
      </c>
      <c r="J64" s="44">
        <f>G64*AP64</f>
        <v>0</v>
      </c>
      <c r="K64" s="44">
        <f>G64*H64</f>
        <v>0</v>
      </c>
      <c r="L64" s="64" t="s">
        <v>214</v>
      </c>
      <c r="Z64" s="70">
        <f>IF(AQ64="5",BJ64,0)</f>
        <v>0</v>
      </c>
      <c r="AB64" s="70">
        <f>IF(AQ64="1",BH64,0)</f>
        <v>0</v>
      </c>
      <c r="AC64" s="70">
        <f>IF(AQ64="1",BI64,0)</f>
        <v>0</v>
      </c>
      <c r="AD64" s="70">
        <f>IF(AQ64="7",BH64,0)</f>
        <v>0</v>
      </c>
      <c r="AE64" s="70">
        <f>IF(AQ64="7",BI64,0)</f>
        <v>0</v>
      </c>
      <c r="AF64" s="70">
        <f>IF(AQ64="2",BH64,0)</f>
        <v>0</v>
      </c>
      <c r="AG64" s="70">
        <f>IF(AQ64="2",BI64,0)</f>
        <v>0</v>
      </c>
      <c r="AH64" s="70">
        <f>IF(AQ64="0",BJ64,0)</f>
        <v>0</v>
      </c>
      <c r="AI64" s="65"/>
      <c r="AJ64" s="44">
        <f>IF(AN64=0,K64,0)</f>
        <v>0</v>
      </c>
      <c r="AK64" s="44">
        <f>IF(AN64=15,K64,0)</f>
        <v>0</v>
      </c>
      <c r="AL64" s="44">
        <f>IF(AN64=21,K64,0)</f>
        <v>0</v>
      </c>
      <c r="AN64" s="70">
        <v>21</v>
      </c>
      <c r="AO64" s="70">
        <f>H64*0.724973062042612</f>
        <v>0</v>
      </c>
      <c r="AP64" s="70">
        <f>H64*(1-0.724973062042612)</f>
        <v>0</v>
      </c>
      <c r="AQ64" s="64" t="s">
        <v>7</v>
      </c>
      <c r="AV64" s="70">
        <f>AW64+AX64</f>
        <v>0</v>
      </c>
      <c r="AW64" s="70">
        <f>G64*AO64</f>
        <v>0</v>
      </c>
      <c r="AX64" s="70">
        <f>G64*AP64</f>
        <v>0</v>
      </c>
      <c r="AY64" s="71" t="s">
        <v>232</v>
      </c>
      <c r="AZ64" s="71" t="s">
        <v>239</v>
      </c>
      <c r="BA64" s="65" t="s">
        <v>241</v>
      </c>
      <c r="BC64" s="70">
        <f>AW64+AX64</f>
        <v>0</v>
      </c>
      <c r="BD64" s="70">
        <f>H64/(100-BE64)*100</f>
        <v>0</v>
      </c>
      <c r="BE64" s="70">
        <v>0</v>
      </c>
      <c r="BF64" s="70">
        <f>64</f>
        <v>64</v>
      </c>
      <c r="BH64" s="44">
        <f>G64*AO64</f>
        <v>0</v>
      </c>
      <c r="BI64" s="44">
        <f>G64*AP64</f>
        <v>0</v>
      </c>
      <c r="BJ64" s="44">
        <f>G64*H64</f>
        <v>0</v>
      </c>
    </row>
    <row r="65" spans="1:62" ht="12.75">
      <c r="A65" s="10" t="s">
        <v>41</v>
      </c>
      <c r="B65" s="10" t="s">
        <v>95</v>
      </c>
      <c r="C65" s="10" t="s">
        <v>165</v>
      </c>
      <c r="D65" s="36"/>
      <c r="E65" s="36"/>
      <c r="F65" s="10" t="s">
        <v>194</v>
      </c>
      <c r="G65" s="44">
        <v>14</v>
      </c>
      <c r="H65" s="44">
        <v>0</v>
      </c>
      <c r="I65" s="44">
        <f>G65*AO65</f>
        <v>0</v>
      </c>
      <c r="J65" s="44">
        <f>G65*AP65</f>
        <v>0</v>
      </c>
      <c r="K65" s="44">
        <f>G65*H65</f>
        <v>0</v>
      </c>
      <c r="L65" s="64" t="s">
        <v>214</v>
      </c>
      <c r="Z65" s="70">
        <f>IF(AQ65="5",BJ65,0)</f>
        <v>0</v>
      </c>
      <c r="AB65" s="70">
        <f>IF(AQ65="1",BH65,0)</f>
        <v>0</v>
      </c>
      <c r="AC65" s="70">
        <f>IF(AQ65="1",BI65,0)</f>
        <v>0</v>
      </c>
      <c r="AD65" s="70">
        <f>IF(AQ65="7",BH65,0)</f>
        <v>0</v>
      </c>
      <c r="AE65" s="70">
        <f>IF(AQ65="7",BI65,0)</f>
        <v>0</v>
      </c>
      <c r="AF65" s="70">
        <f>IF(AQ65="2",BH65,0)</f>
        <v>0</v>
      </c>
      <c r="AG65" s="70">
        <f>IF(AQ65="2",BI65,0)</f>
        <v>0</v>
      </c>
      <c r="AH65" s="70">
        <f>IF(AQ65="0",BJ65,0)</f>
        <v>0</v>
      </c>
      <c r="AI65" s="65"/>
      <c r="AJ65" s="44">
        <f>IF(AN65=0,K65,0)</f>
        <v>0</v>
      </c>
      <c r="AK65" s="44">
        <f>IF(AN65=15,K65,0)</f>
        <v>0</v>
      </c>
      <c r="AL65" s="44">
        <f>IF(AN65=21,K65,0)</f>
        <v>0</v>
      </c>
      <c r="AN65" s="70">
        <v>21</v>
      </c>
      <c r="AO65" s="70">
        <f>H65*0.89710599078341</f>
        <v>0</v>
      </c>
      <c r="AP65" s="70">
        <f>H65*(1-0.89710599078341)</f>
        <v>0</v>
      </c>
      <c r="AQ65" s="64" t="s">
        <v>7</v>
      </c>
      <c r="AV65" s="70">
        <f>AW65+AX65</f>
        <v>0</v>
      </c>
      <c r="AW65" s="70">
        <f>G65*AO65</f>
        <v>0</v>
      </c>
      <c r="AX65" s="70">
        <f>G65*AP65</f>
        <v>0</v>
      </c>
      <c r="AY65" s="71" t="s">
        <v>232</v>
      </c>
      <c r="AZ65" s="71" t="s">
        <v>239</v>
      </c>
      <c r="BA65" s="65" t="s">
        <v>241</v>
      </c>
      <c r="BC65" s="70">
        <f>AW65+AX65</f>
        <v>0</v>
      </c>
      <c r="BD65" s="70">
        <f>H65/(100-BE65)*100</f>
        <v>0</v>
      </c>
      <c r="BE65" s="70">
        <v>0</v>
      </c>
      <c r="BF65" s="70">
        <f>65</f>
        <v>65</v>
      </c>
      <c r="BH65" s="44">
        <f>G65*AO65</f>
        <v>0</v>
      </c>
      <c r="BI65" s="44">
        <f>G65*AP65</f>
        <v>0</v>
      </c>
      <c r="BJ65" s="44">
        <f>G65*H65</f>
        <v>0</v>
      </c>
    </row>
    <row r="66" spans="2:12" ht="12.75">
      <c r="B66" s="25" t="s">
        <v>70</v>
      </c>
      <c r="C66" s="30" t="s">
        <v>166</v>
      </c>
      <c r="D66" s="38"/>
      <c r="E66" s="38"/>
      <c r="F66" s="38"/>
      <c r="G66" s="38"/>
      <c r="H66" s="38"/>
      <c r="I66" s="38"/>
      <c r="J66" s="38"/>
      <c r="K66" s="38"/>
      <c r="L66" s="38"/>
    </row>
    <row r="67" spans="1:62" ht="12.75">
      <c r="A67" s="10" t="s">
        <v>42</v>
      </c>
      <c r="B67" s="10" t="s">
        <v>96</v>
      </c>
      <c r="C67" s="10" t="s">
        <v>165</v>
      </c>
      <c r="D67" s="36"/>
      <c r="E67" s="36"/>
      <c r="F67" s="10" t="s">
        <v>194</v>
      </c>
      <c r="G67" s="44">
        <v>2</v>
      </c>
      <c r="H67" s="44">
        <v>0</v>
      </c>
      <c r="I67" s="44">
        <f>G67*AO67</f>
        <v>0</v>
      </c>
      <c r="J67" s="44">
        <f>G67*AP67</f>
        <v>0</v>
      </c>
      <c r="K67" s="44">
        <f>G67*H67</f>
        <v>0</v>
      </c>
      <c r="L67" s="64" t="s">
        <v>214</v>
      </c>
      <c r="Z67" s="70">
        <f>IF(AQ67="5",BJ67,0)</f>
        <v>0</v>
      </c>
      <c r="AB67" s="70">
        <f>IF(AQ67="1",BH67,0)</f>
        <v>0</v>
      </c>
      <c r="AC67" s="70">
        <f>IF(AQ67="1",BI67,0)</f>
        <v>0</v>
      </c>
      <c r="AD67" s="70">
        <f>IF(AQ67="7",BH67,0)</f>
        <v>0</v>
      </c>
      <c r="AE67" s="70">
        <f>IF(AQ67="7",BI67,0)</f>
        <v>0</v>
      </c>
      <c r="AF67" s="70">
        <f>IF(AQ67="2",BH67,0)</f>
        <v>0</v>
      </c>
      <c r="AG67" s="70">
        <f>IF(AQ67="2",BI67,0)</f>
        <v>0</v>
      </c>
      <c r="AH67" s="70">
        <f>IF(AQ67="0",BJ67,0)</f>
        <v>0</v>
      </c>
      <c r="AI67" s="65"/>
      <c r="AJ67" s="44">
        <f>IF(AN67=0,K67,0)</f>
        <v>0</v>
      </c>
      <c r="AK67" s="44">
        <f>IF(AN67=15,K67,0)</f>
        <v>0</v>
      </c>
      <c r="AL67" s="44">
        <f>IF(AN67=21,K67,0)</f>
        <v>0</v>
      </c>
      <c r="AN67" s="70">
        <v>21</v>
      </c>
      <c r="AO67" s="70">
        <f>H67*0.898968325791855</f>
        <v>0</v>
      </c>
      <c r="AP67" s="70">
        <f>H67*(1-0.898968325791855)</f>
        <v>0</v>
      </c>
      <c r="AQ67" s="64" t="s">
        <v>7</v>
      </c>
      <c r="AV67" s="70">
        <f>AW67+AX67</f>
        <v>0</v>
      </c>
      <c r="AW67" s="70">
        <f>G67*AO67</f>
        <v>0</v>
      </c>
      <c r="AX67" s="70">
        <f>G67*AP67</f>
        <v>0</v>
      </c>
      <c r="AY67" s="71" t="s">
        <v>232</v>
      </c>
      <c r="AZ67" s="71" t="s">
        <v>239</v>
      </c>
      <c r="BA67" s="65" t="s">
        <v>241</v>
      </c>
      <c r="BC67" s="70">
        <f>AW67+AX67</f>
        <v>0</v>
      </c>
      <c r="BD67" s="70">
        <f>H67/(100-BE67)*100</f>
        <v>0</v>
      </c>
      <c r="BE67" s="70">
        <v>0</v>
      </c>
      <c r="BF67" s="70">
        <f>67</f>
        <v>67</v>
      </c>
      <c r="BH67" s="44">
        <f>G67*AO67</f>
        <v>0</v>
      </c>
      <c r="BI67" s="44">
        <f>G67*AP67</f>
        <v>0</v>
      </c>
      <c r="BJ67" s="44">
        <f>G67*H67</f>
        <v>0</v>
      </c>
    </row>
    <row r="68" spans="2:12" ht="12.75">
      <c r="B68" s="25" t="s">
        <v>70</v>
      </c>
      <c r="C68" s="30" t="s">
        <v>167</v>
      </c>
      <c r="D68" s="38"/>
      <c r="E68" s="38"/>
      <c r="F68" s="38"/>
      <c r="G68" s="38"/>
      <c r="H68" s="38"/>
      <c r="I68" s="38"/>
      <c r="J68" s="38"/>
      <c r="K68" s="38"/>
      <c r="L68" s="38"/>
    </row>
    <row r="69" spans="1:62" ht="12.75">
      <c r="A69" s="10" t="s">
        <v>43</v>
      </c>
      <c r="B69" s="10" t="s">
        <v>97</v>
      </c>
      <c r="C69" s="10" t="s">
        <v>168</v>
      </c>
      <c r="D69" s="36"/>
      <c r="E69" s="36"/>
      <c r="F69" s="10" t="s">
        <v>194</v>
      </c>
      <c r="G69" s="44">
        <v>48.5</v>
      </c>
      <c r="H69" s="44">
        <v>0</v>
      </c>
      <c r="I69" s="44">
        <f>G69*AO69</f>
        <v>0</v>
      </c>
      <c r="J69" s="44">
        <f>G69*AP69</f>
        <v>0</v>
      </c>
      <c r="K69" s="44">
        <f>G69*H69</f>
        <v>0</v>
      </c>
      <c r="L69" s="64" t="s">
        <v>214</v>
      </c>
      <c r="Z69" s="70">
        <f>IF(AQ69="5",BJ69,0)</f>
        <v>0</v>
      </c>
      <c r="AB69" s="70">
        <f>IF(AQ69="1",BH69,0)</f>
        <v>0</v>
      </c>
      <c r="AC69" s="70">
        <f>IF(AQ69="1",BI69,0)</f>
        <v>0</v>
      </c>
      <c r="AD69" s="70">
        <f>IF(AQ69="7",BH69,0)</f>
        <v>0</v>
      </c>
      <c r="AE69" s="70">
        <f>IF(AQ69="7",BI69,0)</f>
        <v>0</v>
      </c>
      <c r="AF69" s="70">
        <f>IF(AQ69="2",BH69,0)</f>
        <v>0</v>
      </c>
      <c r="AG69" s="70">
        <f>IF(AQ69="2",BI69,0)</f>
        <v>0</v>
      </c>
      <c r="AH69" s="70">
        <f>IF(AQ69="0",BJ69,0)</f>
        <v>0</v>
      </c>
      <c r="AI69" s="65"/>
      <c r="AJ69" s="44">
        <f>IF(AN69=0,K69,0)</f>
        <v>0</v>
      </c>
      <c r="AK69" s="44">
        <f>IF(AN69=15,K69,0)</f>
        <v>0</v>
      </c>
      <c r="AL69" s="44">
        <f>IF(AN69=21,K69,0)</f>
        <v>0</v>
      </c>
      <c r="AN69" s="70">
        <v>21</v>
      </c>
      <c r="AO69" s="70">
        <f>H69*0.684428044280443</f>
        <v>0</v>
      </c>
      <c r="AP69" s="70">
        <f>H69*(1-0.684428044280443)</f>
        <v>0</v>
      </c>
      <c r="AQ69" s="64" t="s">
        <v>7</v>
      </c>
      <c r="AV69" s="70">
        <f>AW69+AX69</f>
        <v>0</v>
      </c>
      <c r="AW69" s="70">
        <f>G69*AO69</f>
        <v>0</v>
      </c>
      <c r="AX69" s="70">
        <f>G69*AP69</f>
        <v>0</v>
      </c>
      <c r="AY69" s="71" t="s">
        <v>232</v>
      </c>
      <c r="AZ69" s="71" t="s">
        <v>239</v>
      </c>
      <c r="BA69" s="65" t="s">
        <v>241</v>
      </c>
      <c r="BC69" s="70">
        <f>AW69+AX69</f>
        <v>0</v>
      </c>
      <c r="BD69" s="70">
        <f>H69/(100-BE69)*100</f>
        <v>0</v>
      </c>
      <c r="BE69" s="70">
        <v>0</v>
      </c>
      <c r="BF69" s="70">
        <f>69</f>
        <v>69</v>
      </c>
      <c r="BH69" s="44">
        <f>G69*AO69</f>
        <v>0</v>
      </c>
      <c r="BI69" s="44">
        <f>G69*AP69</f>
        <v>0</v>
      </c>
      <c r="BJ69" s="44">
        <f>G69*H69</f>
        <v>0</v>
      </c>
    </row>
    <row r="70" spans="1:62" ht="12.75">
      <c r="A70" s="10" t="s">
        <v>44</v>
      </c>
      <c r="B70" s="10" t="s">
        <v>98</v>
      </c>
      <c r="C70" s="10" t="s">
        <v>169</v>
      </c>
      <c r="D70" s="36"/>
      <c r="E70" s="36"/>
      <c r="F70" s="10" t="s">
        <v>194</v>
      </c>
      <c r="G70" s="44">
        <v>51.59</v>
      </c>
      <c r="H70" s="44">
        <v>0</v>
      </c>
      <c r="I70" s="44">
        <f>G70*AO70</f>
        <v>0</v>
      </c>
      <c r="J70" s="44">
        <f>G70*AP70</f>
        <v>0</v>
      </c>
      <c r="K70" s="44">
        <f>G70*H70</f>
        <v>0</v>
      </c>
      <c r="L70" s="64" t="s">
        <v>214</v>
      </c>
      <c r="Z70" s="70">
        <f>IF(AQ70="5",BJ70,0)</f>
        <v>0</v>
      </c>
      <c r="AB70" s="70">
        <f>IF(AQ70="1",BH70,0)</f>
        <v>0</v>
      </c>
      <c r="AC70" s="70">
        <f>IF(AQ70="1",BI70,0)</f>
        <v>0</v>
      </c>
      <c r="AD70" s="70">
        <f>IF(AQ70="7",BH70,0)</f>
        <v>0</v>
      </c>
      <c r="AE70" s="70">
        <f>IF(AQ70="7",BI70,0)</f>
        <v>0</v>
      </c>
      <c r="AF70" s="70">
        <f>IF(AQ70="2",BH70,0)</f>
        <v>0</v>
      </c>
      <c r="AG70" s="70">
        <f>IF(AQ70="2",BI70,0)</f>
        <v>0</v>
      </c>
      <c r="AH70" s="70">
        <f>IF(AQ70="0",BJ70,0)</f>
        <v>0</v>
      </c>
      <c r="AI70" s="65"/>
      <c r="AJ70" s="44">
        <f>IF(AN70=0,K70,0)</f>
        <v>0</v>
      </c>
      <c r="AK70" s="44">
        <f>IF(AN70=15,K70,0)</f>
        <v>0</v>
      </c>
      <c r="AL70" s="44">
        <f>IF(AN70=21,K70,0)</f>
        <v>0</v>
      </c>
      <c r="AN70" s="70">
        <v>21</v>
      </c>
      <c r="AO70" s="70">
        <f>H70*0.60755706098415</f>
        <v>0</v>
      </c>
      <c r="AP70" s="70">
        <f>H70*(1-0.60755706098415)</f>
        <v>0</v>
      </c>
      <c r="AQ70" s="64" t="s">
        <v>7</v>
      </c>
      <c r="AV70" s="70">
        <f>AW70+AX70</f>
        <v>0</v>
      </c>
      <c r="AW70" s="70">
        <f>G70*AO70</f>
        <v>0</v>
      </c>
      <c r="AX70" s="70">
        <f>G70*AP70</f>
        <v>0</v>
      </c>
      <c r="AY70" s="71" t="s">
        <v>232</v>
      </c>
      <c r="AZ70" s="71" t="s">
        <v>239</v>
      </c>
      <c r="BA70" s="65" t="s">
        <v>241</v>
      </c>
      <c r="BC70" s="70">
        <f>AW70+AX70</f>
        <v>0</v>
      </c>
      <c r="BD70" s="70">
        <f>H70/(100-BE70)*100</f>
        <v>0</v>
      </c>
      <c r="BE70" s="70">
        <v>0</v>
      </c>
      <c r="BF70" s="70">
        <f>70</f>
        <v>70</v>
      </c>
      <c r="BH70" s="44">
        <f>G70*AO70</f>
        <v>0</v>
      </c>
      <c r="BI70" s="44">
        <f>G70*AP70</f>
        <v>0</v>
      </c>
      <c r="BJ70" s="44">
        <f>G70*H70</f>
        <v>0</v>
      </c>
    </row>
    <row r="71" spans="2:12" ht="12.75">
      <c r="B71" s="25" t="s">
        <v>70</v>
      </c>
      <c r="C71" s="30" t="s">
        <v>170</v>
      </c>
      <c r="D71" s="38"/>
      <c r="E71" s="38"/>
      <c r="F71" s="38"/>
      <c r="G71" s="38"/>
      <c r="H71" s="38"/>
      <c r="I71" s="38"/>
      <c r="J71" s="38"/>
      <c r="K71" s="38"/>
      <c r="L71" s="38"/>
    </row>
    <row r="72" spans="1:47" ht="12.75">
      <c r="A72" s="11"/>
      <c r="B72" s="24" t="s">
        <v>99</v>
      </c>
      <c r="C72" s="24" t="s">
        <v>171</v>
      </c>
      <c r="D72" s="37"/>
      <c r="E72" s="37"/>
      <c r="F72" s="11" t="s">
        <v>6</v>
      </c>
      <c r="G72" s="11" t="s">
        <v>6</v>
      </c>
      <c r="H72" s="11" t="s">
        <v>6</v>
      </c>
      <c r="I72" s="73">
        <f>SUM(I73:I73)</f>
        <v>0</v>
      </c>
      <c r="J72" s="73">
        <f>SUM(J73:J73)</f>
        <v>0</v>
      </c>
      <c r="K72" s="73">
        <f>SUM(K73:K73)</f>
        <v>0</v>
      </c>
      <c r="L72" s="65"/>
      <c r="AI72" s="65"/>
      <c r="AS72" s="73">
        <f>SUM(AJ73:AJ73)</f>
        <v>0</v>
      </c>
      <c r="AT72" s="73">
        <f>SUM(AK73:AK73)</f>
        <v>0</v>
      </c>
      <c r="AU72" s="73">
        <f>SUM(AL73:AL73)</f>
        <v>0</v>
      </c>
    </row>
    <row r="73" spans="1:62" ht="12.75">
      <c r="A73" s="10" t="s">
        <v>45</v>
      </c>
      <c r="B73" s="10" t="s">
        <v>100</v>
      </c>
      <c r="C73" s="10" t="s">
        <v>172</v>
      </c>
      <c r="D73" s="36"/>
      <c r="E73" s="36"/>
      <c r="F73" s="10" t="s">
        <v>197</v>
      </c>
      <c r="G73" s="44">
        <v>1</v>
      </c>
      <c r="H73" s="44">
        <v>0</v>
      </c>
      <c r="I73" s="44">
        <f>G73*AO73</f>
        <v>0</v>
      </c>
      <c r="J73" s="44">
        <f>G73*AP73</f>
        <v>0</v>
      </c>
      <c r="K73" s="44">
        <f>G73*H73</f>
        <v>0</v>
      </c>
      <c r="L73" s="64"/>
      <c r="Z73" s="70">
        <f>IF(AQ73="5",BJ73,0)</f>
        <v>0</v>
      </c>
      <c r="AB73" s="70">
        <f>IF(AQ73="1",BH73,0)</f>
        <v>0</v>
      </c>
      <c r="AC73" s="70">
        <f>IF(AQ73="1",BI73,0)</f>
        <v>0</v>
      </c>
      <c r="AD73" s="70">
        <f>IF(AQ73="7",BH73,0)</f>
        <v>0</v>
      </c>
      <c r="AE73" s="70">
        <f>IF(AQ73="7",BI73,0)</f>
        <v>0</v>
      </c>
      <c r="AF73" s="70">
        <f>IF(AQ73="2",BH73,0)</f>
        <v>0</v>
      </c>
      <c r="AG73" s="70">
        <f>IF(AQ73="2",BI73,0)</f>
        <v>0</v>
      </c>
      <c r="AH73" s="70">
        <f>IF(AQ73="0",BJ73,0)</f>
        <v>0</v>
      </c>
      <c r="AI73" s="65"/>
      <c r="AJ73" s="44">
        <f>IF(AN73=0,K73,0)</f>
        <v>0</v>
      </c>
      <c r="AK73" s="44">
        <f>IF(AN73=15,K73,0)</f>
        <v>0</v>
      </c>
      <c r="AL73" s="44">
        <f>IF(AN73=21,K73,0)</f>
        <v>0</v>
      </c>
      <c r="AN73" s="70">
        <v>21</v>
      </c>
      <c r="AO73" s="70">
        <f>H73*0.920969441517387</f>
        <v>0</v>
      </c>
      <c r="AP73" s="70">
        <f>H73*(1-0.920969441517387)</f>
        <v>0</v>
      </c>
      <c r="AQ73" s="64" t="s">
        <v>8</v>
      </c>
      <c r="AV73" s="70">
        <f>AW73+AX73</f>
        <v>0</v>
      </c>
      <c r="AW73" s="70">
        <f>G73*AO73</f>
        <v>0</v>
      </c>
      <c r="AX73" s="70">
        <f>G73*AP73</f>
        <v>0</v>
      </c>
      <c r="AY73" s="71" t="s">
        <v>233</v>
      </c>
      <c r="AZ73" s="71" t="s">
        <v>239</v>
      </c>
      <c r="BA73" s="65" t="s">
        <v>241</v>
      </c>
      <c r="BC73" s="70">
        <f>AW73+AX73</f>
        <v>0</v>
      </c>
      <c r="BD73" s="70">
        <f>H73/(100-BE73)*100</f>
        <v>0</v>
      </c>
      <c r="BE73" s="70">
        <v>0</v>
      </c>
      <c r="BF73" s="70">
        <f>73</f>
        <v>73</v>
      </c>
      <c r="BH73" s="44">
        <f>G73*AO73</f>
        <v>0</v>
      </c>
      <c r="BI73" s="44">
        <f>G73*AP73</f>
        <v>0</v>
      </c>
      <c r="BJ73" s="44">
        <f>G73*H73</f>
        <v>0</v>
      </c>
    </row>
    <row r="74" spans="1:47" ht="12.75">
      <c r="A74" s="11"/>
      <c r="B74" s="24"/>
      <c r="C74" s="24" t="s">
        <v>173</v>
      </c>
      <c r="D74" s="37"/>
      <c r="E74" s="37"/>
      <c r="F74" s="11" t="s">
        <v>6</v>
      </c>
      <c r="G74" s="11" t="s">
        <v>6</v>
      </c>
      <c r="H74" s="11" t="s">
        <v>6</v>
      </c>
      <c r="I74" s="73">
        <f>SUM(I75:I84)</f>
        <v>0</v>
      </c>
      <c r="J74" s="73">
        <f>SUM(J75:J84)</f>
        <v>0</v>
      </c>
      <c r="K74" s="73">
        <f>SUM(K75:K84)</f>
        <v>0</v>
      </c>
      <c r="L74" s="65"/>
      <c r="AI74" s="65"/>
      <c r="AS74" s="73">
        <f>SUM(AJ75:AJ84)</f>
        <v>0</v>
      </c>
      <c r="AT74" s="73">
        <f>SUM(AK75:AK84)</f>
        <v>0</v>
      </c>
      <c r="AU74" s="73">
        <f>SUM(AL75:AL84)</f>
        <v>0</v>
      </c>
    </row>
    <row r="75" spans="1:62" ht="12.75">
      <c r="A75" s="12" t="s">
        <v>46</v>
      </c>
      <c r="B75" s="12" t="s">
        <v>101</v>
      </c>
      <c r="C75" s="12" t="s">
        <v>174</v>
      </c>
      <c r="D75" s="39"/>
      <c r="E75" s="39"/>
      <c r="F75" s="12" t="s">
        <v>196</v>
      </c>
      <c r="G75" s="45">
        <v>2</v>
      </c>
      <c r="H75" s="45">
        <v>0</v>
      </c>
      <c r="I75" s="45">
        <f>G75*AO75</f>
        <v>0</v>
      </c>
      <c r="J75" s="45">
        <f>G75*AP75</f>
        <v>0</v>
      </c>
      <c r="K75" s="45">
        <f>G75*H75</f>
        <v>0</v>
      </c>
      <c r="L75" s="66" t="s">
        <v>214</v>
      </c>
      <c r="Z75" s="70">
        <f>IF(AQ75="5",BJ75,0)</f>
        <v>0</v>
      </c>
      <c r="AB75" s="70">
        <f>IF(AQ75="1",BH75,0)</f>
        <v>0</v>
      </c>
      <c r="AC75" s="70">
        <f>IF(AQ75="1",BI75,0)</f>
        <v>0</v>
      </c>
      <c r="AD75" s="70">
        <f>IF(AQ75="7",BH75,0)</f>
        <v>0</v>
      </c>
      <c r="AE75" s="70">
        <f>IF(AQ75="7",BI75,0)</f>
        <v>0</v>
      </c>
      <c r="AF75" s="70">
        <f>IF(AQ75="2",BH75,0)</f>
        <v>0</v>
      </c>
      <c r="AG75" s="70">
        <f>IF(AQ75="2",BI75,0)</f>
        <v>0</v>
      </c>
      <c r="AH75" s="70">
        <f>IF(AQ75="0",BJ75,0)</f>
        <v>0</v>
      </c>
      <c r="AI75" s="65"/>
      <c r="AJ75" s="45">
        <f>IF(AN75=0,K75,0)</f>
        <v>0</v>
      </c>
      <c r="AK75" s="45">
        <f>IF(AN75=15,K75,0)</f>
        <v>0</v>
      </c>
      <c r="AL75" s="45">
        <f>IF(AN75=21,K75,0)</f>
        <v>0</v>
      </c>
      <c r="AN75" s="70">
        <v>21</v>
      </c>
      <c r="AO75" s="70">
        <f>H75*1</f>
        <v>0</v>
      </c>
      <c r="AP75" s="70">
        <f>H75*(1-1)</f>
        <v>0</v>
      </c>
      <c r="AQ75" s="66" t="s">
        <v>55</v>
      </c>
      <c r="AV75" s="70">
        <f>AW75+AX75</f>
        <v>0</v>
      </c>
      <c r="AW75" s="70">
        <f>G75*AO75</f>
        <v>0</v>
      </c>
      <c r="AX75" s="70">
        <f>G75*AP75</f>
        <v>0</v>
      </c>
      <c r="AY75" s="71" t="s">
        <v>234</v>
      </c>
      <c r="AZ75" s="71" t="s">
        <v>240</v>
      </c>
      <c r="BA75" s="65" t="s">
        <v>241</v>
      </c>
      <c r="BC75" s="70">
        <f>AW75+AX75</f>
        <v>0</v>
      </c>
      <c r="BD75" s="70">
        <f>H75/(100-BE75)*100</f>
        <v>0</v>
      </c>
      <c r="BE75" s="70">
        <v>0</v>
      </c>
      <c r="BF75" s="70">
        <f>75</f>
        <v>75</v>
      </c>
      <c r="BH75" s="45">
        <f>G75*AO75</f>
        <v>0</v>
      </c>
      <c r="BI75" s="45">
        <f>G75*AP75</f>
        <v>0</v>
      </c>
      <c r="BJ75" s="45">
        <f>G75*H75</f>
        <v>0</v>
      </c>
    </row>
    <row r="76" spans="2:12" ht="12.75">
      <c r="B76" s="25" t="s">
        <v>70</v>
      </c>
      <c r="C76" s="30" t="s">
        <v>175</v>
      </c>
      <c r="D76" s="38"/>
      <c r="E76" s="38"/>
      <c r="F76" s="38"/>
      <c r="G76" s="38"/>
      <c r="H76" s="38"/>
      <c r="I76" s="38"/>
      <c r="J76" s="38"/>
      <c r="K76" s="38"/>
      <c r="L76" s="38"/>
    </row>
    <row r="77" spans="1:62" ht="12.75">
      <c r="A77" s="12" t="s">
        <v>47</v>
      </c>
      <c r="B77" s="12" t="s">
        <v>102</v>
      </c>
      <c r="C77" s="12" t="s">
        <v>176</v>
      </c>
      <c r="D77" s="39"/>
      <c r="E77" s="39"/>
      <c r="F77" s="12" t="s">
        <v>196</v>
      </c>
      <c r="G77" s="45">
        <v>2</v>
      </c>
      <c r="H77" s="45">
        <v>0</v>
      </c>
      <c r="I77" s="45">
        <f>G77*AO77</f>
        <v>0</v>
      </c>
      <c r="J77" s="45">
        <f>G77*AP77</f>
        <v>0</v>
      </c>
      <c r="K77" s="45">
        <f>G77*H77</f>
        <v>0</v>
      </c>
      <c r="L77" s="66" t="s">
        <v>214</v>
      </c>
      <c r="Z77" s="70">
        <f>IF(AQ77="5",BJ77,0)</f>
        <v>0</v>
      </c>
      <c r="AB77" s="70">
        <f>IF(AQ77="1",BH77,0)</f>
        <v>0</v>
      </c>
      <c r="AC77" s="70">
        <f>IF(AQ77="1",BI77,0)</f>
        <v>0</v>
      </c>
      <c r="AD77" s="70">
        <f>IF(AQ77="7",BH77,0)</f>
        <v>0</v>
      </c>
      <c r="AE77" s="70">
        <f>IF(AQ77="7",BI77,0)</f>
        <v>0</v>
      </c>
      <c r="AF77" s="70">
        <f>IF(AQ77="2",BH77,0)</f>
        <v>0</v>
      </c>
      <c r="AG77" s="70">
        <f>IF(AQ77="2",BI77,0)</f>
        <v>0</v>
      </c>
      <c r="AH77" s="70">
        <f>IF(AQ77="0",BJ77,0)</f>
        <v>0</v>
      </c>
      <c r="AI77" s="65"/>
      <c r="AJ77" s="45">
        <f>IF(AN77=0,K77,0)</f>
        <v>0</v>
      </c>
      <c r="AK77" s="45">
        <f>IF(AN77=15,K77,0)</f>
        <v>0</v>
      </c>
      <c r="AL77" s="45">
        <f>IF(AN77=21,K77,0)</f>
        <v>0</v>
      </c>
      <c r="AN77" s="70">
        <v>21</v>
      </c>
      <c r="AO77" s="70">
        <f>H77*1</f>
        <v>0</v>
      </c>
      <c r="AP77" s="70">
        <f>H77*(1-1)</f>
        <v>0</v>
      </c>
      <c r="AQ77" s="66" t="s">
        <v>55</v>
      </c>
      <c r="AV77" s="70">
        <f>AW77+AX77</f>
        <v>0</v>
      </c>
      <c r="AW77" s="70">
        <f>G77*AO77</f>
        <v>0</v>
      </c>
      <c r="AX77" s="70">
        <f>G77*AP77</f>
        <v>0</v>
      </c>
      <c r="AY77" s="71" t="s">
        <v>234</v>
      </c>
      <c r="AZ77" s="71" t="s">
        <v>240</v>
      </c>
      <c r="BA77" s="65" t="s">
        <v>241</v>
      </c>
      <c r="BC77" s="70">
        <f>AW77+AX77</f>
        <v>0</v>
      </c>
      <c r="BD77" s="70">
        <f>H77/(100-BE77)*100</f>
        <v>0</v>
      </c>
      <c r="BE77" s="70">
        <v>0</v>
      </c>
      <c r="BF77" s="70">
        <f>77</f>
        <v>77</v>
      </c>
      <c r="BH77" s="45">
        <f>G77*AO77</f>
        <v>0</v>
      </c>
      <c r="BI77" s="45">
        <f>G77*AP77</f>
        <v>0</v>
      </c>
      <c r="BJ77" s="45">
        <f>G77*H77</f>
        <v>0</v>
      </c>
    </row>
    <row r="78" spans="1:62" ht="12.75">
      <c r="A78" s="12" t="s">
        <v>48</v>
      </c>
      <c r="B78" s="12" t="s">
        <v>103</v>
      </c>
      <c r="C78" s="12" t="s">
        <v>177</v>
      </c>
      <c r="D78" s="39"/>
      <c r="E78" s="39"/>
      <c r="F78" s="12" t="s">
        <v>193</v>
      </c>
      <c r="G78" s="45">
        <v>3.4239</v>
      </c>
      <c r="H78" s="45">
        <v>0</v>
      </c>
      <c r="I78" s="45">
        <f>G78*AO78</f>
        <v>0</v>
      </c>
      <c r="J78" s="45">
        <f>G78*AP78</f>
        <v>0</v>
      </c>
      <c r="K78" s="45">
        <f>G78*H78</f>
        <v>0</v>
      </c>
      <c r="L78" s="66" t="s">
        <v>214</v>
      </c>
      <c r="Z78" s="70">
        <f>IF(AQ78="5",BJ78,0)</f>
        <v>0</v>
      </c>
      <c r="AB78" s="70">
        <f>IF(AQ78="1",BH78,0)</f>
        <v>0</v>
      </c>
      <c r="AC78" s="70">
        <f>IF(AQ78="1",BI78,0)</f>
        <v>0</v>
      </c>
      <c r="AD78" s="70">
        <f>IF(AQ78="7",BH78,0)</f>
        <v>0</v>
      </c>
      <c r="AE78" s="70">
        <f>IF(AQ78="7",BI78,0)</f>
        <v>0</v>
      </c>
      <c r="AF78" s="70">
        <f>IF(AQ78="2",BH78,0)</f>
        <v>0</v>
      </c>
      <c r="AG78" s="70">
        <f>IF(AQ78="2",BI78,0)</f>
        <v>0</v>
      </c>
      <c r="AH78" s="70">
        <f>IF(AQ78="0",BJ78,0)</f>
        <v>0</v>
      </c>
      <c r="AI78" s="65"/>
      <c r="AJ78" s="45">
        <f>IF(AN78=0,K78,0)</f>
        <v>0</v>
      </c>
      <c r="AK78" s="45">
        <f>IF(AN78=15,K78,0)</f>
        <v>0</v>
      </c>
      <c r="AL78" s="45">
        <f>IF(AN78=21,K78,0)</f>
        <v>0</v>
      </c>
      <c r="AN78" s="70">
        <v>21</v>
      </c>
      <c r="AO78" s="70">
        <f>H78*1</f>
        <v>0</v>
      </c>
      <c r="AP78" s="70">
        <f>H78*(1-1)</f>
        <v>0</v>
      </c>
      <c r="AQ78" s="66" t="s">
        <v>55</v>
      </c>
      <c r="AV78" s="70">
        <f>AW78+AX78</f>
        <v>0</v>
      </c>
      <c r="AW78" s="70">
        <f>G78*AO78</f>
        <v>0</v>
      </c>
      <c r="AX78" s="70">
        <f>G78*AP78</f>
        <v>0</v>
      </c>
      <c r="AY78" s="71" t="s">
        <v>234</v>
      </c>
      <c r="AZ78" s="71" t="s">
        <v>240</v>
      </c>
      <c r="BA78" s="65" t="s">
        <v>241</v>
      </c>
      <c r="BC78" s="70">
        <f>AW78+AX78</f>
        <v>0</v>
      </c>
      <c r="BD78" s="70">
        <f>H78/(100-BE78)*100</f>
        <v>0</v>
      </c>
      <c r="BE78" s="70">
        <v>0</v>
      </c>
      <c r="BF78" s="70">
        <f>78</f>
        <v>78</v>
      </c>
      <c r="BH78" s="45">
        <f>G78*AO78</f>
        <v>0</v>
      </c>
      <c r="BI78" s="45">
        <f>G78*AP78</f>
        <v>0</v>
      </c>
      <c r="BJ78" s="45">
        <f>G78*H78</f>
        <v>0</v>
      </c>
    </row>
    <row r="79" spans="2:12" ht="12.75">
      <c r="B79" s="25" t="s">
        <v>70</v>
      </c>
      <c r="C79" s="30" t="s">
        <v>178</v>
      </c>
      <c r="D79" s="38"/>
      <c r="E79" s="38"/>
      <c r="F79" s="38"/>
      <c r="G79" s="38"/>
      <c r="H79" s="38"/>
      <c r="I79" s="38"/>
      <c r="J79" s="38"/>
      <c r="K79" s="38"/>
      <c r="L79" s="38"/>
    </row>
    <row r="80" spans="1:62" ht="12.75">
      <c r="A80" s="12" t="s">
        <v>49</v>
      </c>
      <c r="B80" s="12" t="s">
        <v>104</v>
      </c>
      <c r="C80" s="12" t="s">
        <v>179</v>
      </c>
      <c r="D80" s="39"/>
      <c r="E80" s="39"/>
      <c r="F80" s="12" t="s">
        <v>193</v>
      </c>
      <c r="G80" s="45">
        <v>69.7</v>
      </c>
      <c r="H80" s="45">
        <v>0</v>
      </c>
      <c r="I80" s="45">
        <f>G80*AO80</f>
        <v>0</v>
      </c>
      <c r="J80" s="45">
        <f>G80*AP80</f>
        <v>0</v>
      </c>
      <c r="K80" s="45">
        <f>G80*H80</f>
        <v>0</v>
      </c>
      <c r="L80" s="66" t="s">
        <v>214</v>
      </c>
      <c r="Z80" s="70">
        <f>IF(AQ80="5",BJ80,0)</f>
        <v>0</v>
      </c>
      <c r="AB80" s="70">
        <f>IF(AQ80="1",BH80,0)</f>
        <v>0</v>
      </c>
      <c r="AC80" s="70">
        <f>IF(AQ80="1",BI80,0)</f>
        <v>0</v>
      </c>
      <c r="AD80" s="70">
        <f>IF(AQ80="7",BH80,0)</f>
        <v>0</v>
      </c>
      <c r="AE80" s="70">
        <f>IF(AQ80="7",BI80,0)</f>
        <v>0</v>
      </c>
      <c r="AF80" s="70">
        <f>IF(AQ80="2",BH80,0)</f>
        <v>0</v>
      </c>
      <c r="AG80" s="70">
        <f>IF(AQ80="2",BI80,0)</f>
        <v>0</v>
      </c>
      <c r="AH80" s="70">
        <f>IF(AQ80="0",BJ80,0)</f>
        <v>0</v>
      </c>
      <c r="AI80" s="65"/>
      <c r="AJ80" s="45">
        <f>IF(AN80=0,K80,0)</f>
        <v>0</v>
      </c>
      <c r="AK80" s="45">
        <f>IF(AN80=15,K80,0)</f>
        <v>0</v>
      </c>
      <c r="AL80" s="45">
        <f>IF(AN80=21,K80,0)</f>
        <v>0</v>
      </c>
      <c r="AN80" s="70">
        <v>21</v>
      </c>
      <c r="AO80" s="70">
        <f>H80*1</f>
        <v>0</v>
      </c>
      <c r="AP80" s="70">
        <f>H80*(1-1)</f>
        <v>0</v>
      </c>
      <c r="AQ80" s="66" t="s">
        <v>55</v>
      </c>
      <c r="AV80" s="70">
        <f>AW80+AX80</f>
        <v>0</v>
      </c>
      <c r="AW80" s="70">
        <f>G80*AO80</f>
        <v>0</v>
      </c>
      <c r="AX80" s="70">
        <f>G80*AP80</f>
        <v>0</v>
      </c>
      <c r="AY80" s="71" t="s">
        <v>234</v>
      </c>
      <c r="AZ80" s="71" t="s">
        <v>240</v>
      </c>
      <c r="BA80" s="65" t="s">
        <v>241</v>
      </c>
      <c r="BC80" s="70">
        <f>AW80+AX80</f>
        <v>0</v>
      </c>
      <c r="BD80" s="70">
        <f>H80/(100-BE80)*100</f>
        <v>0</v>
      </c>
      <c r="BE80" s="70">
        <v>0</v>
      </c>
      <c r="BF80" s="70">
        <f>80</f>
        <v>80</v>
      </c>
      <c r="BH80" s="45">
        <f>G80*AO80</f>
        <v>0</v>
      </c>
      <c r="BI80" s="45">
        <f>G80*AP80</f>
        <v>0</v>
      </c>
      <c r="BJ80" s="45">
        <f>G80*H80</f>
        <v>0</v>
      </c>
    </row>
    <row r="81" spans="1:62" ht="12.75">
      <c r="A81" s="12" t="s">
        <v>50</v>
      </c>
      <c r="B81" s="12" t="s">
        <v>105</v>
      </c>
      <c r="C81" s="12" t="s">
        <v>180</v>
      </c>
      <c r="D81" s="39"/>
      <c r="E81" s="39"/>
      <c r="F81" s="12" t="s">
        <v>193</v>
      </c>
      <c r="G81" s="45">
        <v>4.242</v>
      </c>
      <c r="H81" s="45">
        <v>0</v>
      </c>
      <c r="I81" s="45">
        <f>G81*AO81</f>
        <v>0</v>
      </c>
      <c r="J81" s="45">
        <f>G81*AP81</f>
        <v>0</v>
      </c>
      <c r="K81" s="45">
        <f>G81*H81</f>
        <v>0</v>
      </c>
      <c r="L81" s="66" t="s">
        <v>214</v>
      </c>
      <c r="Z81" s="70">
        <f>IF(AQ81="5",BJ81,0)</f>
        <v>0</v>
      </c>
      <c r="AB81" s="70">
        <f>IF(AQ81="1",BH81,0)</f>
        <v>0</v>
      </c>
      <c r="AC81" s="70">
        <f>IF(AQ81="1",BI81,0)</f>
        <v>0</v>
      </c>
      <c r="AD81" s="70">
        <f>IF(AQ81="7",BH81,0)</f>
        <v>0</v>
      </c>
      <c r="AE81" s="70">
        <f>IF(AQ81="7",BI81,0)</f>
        <v>0</v>
      </c>
      <c r="AF81" s="70">
        <f>IF(AQ81="2",BH81,0)</f>
        <v>0</v>
      </c>
      <c r="AG81" s="70">
        <f>IF(AQ81="2",BI81,0)</f>
        <v>0</v>
      </c>
      <c r="AH81" s="70">
        <f>IF(AQ81="0",BJ81,0)</f>
        <v>0</v>
      </c>
      <c r="AI81" s="65"/>
      <c r="AJ81" s="45">
        <f>IF(AN81=0,K81,0)</f>
        <v>0</v>
      </c>
      <c r="AK81" s="45">
        <f>IF(AN81=15,K81,0)</f>
        <v>0</v>
      </c>
      <c r="AL81" s="45">
        <f>IF(AN81=21,K81,0)</f>
        <v>0</v>
      </c>
      <c r="AN81" s="70">
        <v>21</v>
      </c>
      <c r="AO81" s="70">
        <f>H81*1</f>
        <v>0</v>
      </c>
      <c r="AP81" s="70">
        <f>H81*(1-1)</f>
        <v>0</v>
      </c>
      <c r="AQ81" s="66" t="s">
        <v>55</v>
      </c>
      <c r="AV81" s="70">
        <f>AW81+AX81</f>
        <v>0</v>
      </c>
      <c r="AW81" s="70">
        <f>G81*AO81</f>
        <v>0</v>
      </c>
      <c r="AX81" s="70">
        <f>G81*AP81</f>
        <v>0</v>
      </c>
      <c r="AY81" s="71" t="s">
        <v>234</v>
      </c>
      <c r="AZ81" s="71" t="s">
        <v>240</v>
      </c>
      <c r="BA81" s="65" t="s">
        <v>241</v>
      </c>
      <c r="BC81" s="70">
        <f>AW81+AX81</f>
        <v>0</v>
      </c>
      <c r="BD81" s="70">
        <f>H81/(100-BE81)*100</f>
        <v>0</v>
      </c>
      <c r="BE81" s="70">
        <v>0</v>
      </c>
      <c r="BF81" s="70">
        <f>81</f>
        <v>81</v>
      </c>
      <c r="BH81" s="45">
        <f>G81*AO81</f>
        <v>0</v>
      </c>
      <c r="BI81" s="45">
        <f>G81*AP81</f>
        <v>0</v>
      </c>
      <c r="BJ81" s="45">
        <f>G81*H81</f>
        <v>0</v>
      </c>
    </row>
    <row r="82" spans="1:62" ht="12.75">
      <c r="A82" s="12" t="s">
        <v>51</v>
      </c>
      <c r="B82" s="12" t="s">
        <v>106</v>
      </c>
      <c r="C82" s="12" t="s">
        <v>181</v>
      </c>
      <c r="D82" s="39"/>
      <c r="E82" s="39"/>
      <c r="F82" s="12" t="s">
        <v>193</v>
      </c>
      <c r="G82" s="45">
        <v>74.4855</v>
      </c>
      <c r="H82" s="45">
        <v>0</v>
      </c>
      <c r="I82" s="45">
        <f>G82*AO82</f>
        <v>0</v>
      </c>
      <c r="J82" s="45">
        <f>G82*AP82</f>
        <v>0</v>
      </c>
      <c r="K82" s="45">
        <f>G82*H82</f>
        <v>0</v>
      </c>
      <c r="L82" s="66" t="s">
        <v>214</v>
      </c>
      <c r="Z82" s="70">
        <f>IF(AQ82="5",BJ82,0)</f>
        <v>0</v>
      </c>
      <c r="AB82" s="70">
        <f>IF(AQ82="1",BH82,0)</f>
        <v>0</v>
      </c>
      <c r="AC82" s="70">
        <f>IF(AQ82="1",BI82,0)</f>
        <v>0</v>
      </c>
      <c r="AD82" s="70">
        <f>IF(AQ82="7",BH82,0)</f>
        <v>0</v>
      </c>
      <c r="AE82" s="70">
        <f>IF(AQ82="7",BI82,0)</f>
        <v>0</v>
      </c>
      <c r="AF82" s="70">
        <f>IF(AQ82="2",BH82,0)</f>
        <v>0</v>
      </c>
      <c r="AG82" s="70">
        <f>IF(AQ82="2",BI82,0)</f>
        <v>0</v>
      </c>
      <c r="AH82" s="70">
        <f>IF(AQ82="0",BJ82,0)</f>
        <v>0</v>
      </c>
      <c r="AI82" s="65"/>
      <c r="AJ82" s="45">
        <f>IF(AN82=0,K82,0)</f>
        <v>0</v>
      </c>
      <c r="AK82" s="45">
        <f>IF(AN82=15,K82,0)</f>
        <v>0</v>
      </c>
      <c r="AL82" s="45">
        <f>IF(AN82=21,K82,0)</f>
        <v>0</v>
      </c>
      <c r="AN82" s="70">
        <v>21</v>
      </c>
      <c r="AO82" s="70">
        <f>H82*1</f>
        <v>0</v>
      </c>
      <c r="AP82" s="70">
        <f>H82*(1-1)</f>
        <v>0</v>
      </c>
      <c r="AQ82" s="66" t="s">
        <v>55</v>
      </c>
      <c r="AV82" s="70">
        <f>AW82+AX82</f>
        <v>0</v>
      </c>
      <c r="AW82" s="70">
        <f>G82*AO82</f>
        <v>0</v>
      </c>
      <c r="AX82" s="70">
        <f>G82*AP82</f>
        <v>0</v>
      </c>
      <c r="AY82" s="71" t="s">
        <v>234</v>
      </c>
      <c r="AZ82" s="71" t="s">
        <v>240</v>
      </c>
      <c r="BA82" s="65" t="s">
        <v>241</v>
      </c>
      <c r="BC82" s="70">
        <f>AW82+AX82</f>
        <v>0</v>
      </c>
      <c r="BD82" s="70">
        <f>H82/(100-BE82)*100</f>
        <v>0</v>
      </c>
      <c r="BE82" s="70">
        <v>0</v>
      </c>
      <c r="BF82" s="70">
        <f>82</f>
        <v>82</v>
      </c>
      <c r="BH82" s="45">
        <f>G82*AO82</f>
        <v>0</v>
      </c>
      <c r="BI82" s="45">
        <f>G82*AP82</f>
        <v>0</v>
      </c>
      <c r="BJ82" s="45">
        <f>G82*H82</f>
        <v>0</v>
      </c>
    </row>
    <row r="83" spans="2:12" ht="25.5" customHeight="1">
      <c r="B83" s="25" t="s">
        <v>70</v>
      </c>
      <c r="C83" s="30" t="s">
        <v>182</v>
      </c>
      <c r="D83" s="38"/>
      <c r="E83" s="38"/>
      <c r="F83" s="38"/>
      <c r="G83" s="38"/>
      <c r="H83" s="38"/>
      <c r="I83" s="38"/>
      <c r="J83" s="38"/>
      <c r="K83" s="38"/>
      <c r="L83" s="38"/>
    </row>
    <row r="84" spans="1:62" ht="12.75">
      <c r="A84" s="13" t="s">
        <v>52</v>
      </c>
      <c r="B84" s="13" t="s">
        <v>107</v>
      </c>
      <c r="C84" s="13" t="s">
        <v>183</v>
      </c>
      <c r="D84" s="40"/>
      <c r="E84" s="40"/>
      <c r="F84" s="13" t="s">
        <v>198</v>
      </c>
      <c r="G84" s="46">
        <v>19</v>
      </c>
      <c r="H84" s="46">
        <v>0</v>
      </c>
      <c r="I84" s="46">
        <f>G84*AO84</f>
        <v>0</v>
      </c>
      <c r="J84" s="46">
        <f>G84*AP84</f>
        <v>0</v>
      </c>
      <c r="K84" s="46">
        <f>G84*H84</f>
        <v>0</v>
      </c>
      <c r="L84" s="67" t="s">
        <v>214</v>
      </c>
      <c r="Z84" s="70">
        <f>IF(AQ84="5",BJ84,0)</f>
        <v>0</v>
      </c>
      <c r="AB84" s="70">
        <f>IF(AQ84="1",BH84,0)</f>
        <v>0</v>
      </c>
      <c r="AC84" s="70">
        <f>IF(AQ84="1",BI84,0)</f>
        <v>0</v>
      </c>
      <c r="AD84" s="70">
        <f>IF(AQ84="7",BH84,0)</f>
        <v>0</v>
      </c>
      <c r="AE84" s="70">
        <f>IF(AQ84="7",BI84,0)</f>
        <v>0</v>
      </c>
      <c r="AF84" s="70">
        <f>IF(AQ84="2",BH84,0)</f>
        <v>0</v>
      </c>
      <c r="AG84" s="70">
        <f>IF(AQ84="2",BI84,0)</f>
        <v>0</v>
      </c>
      <c r="AH84" s="70">
        <f>IF(AQ84="0",BJ84,0)</f>
        <v>0</v>
      </c>
      <c r="AI84" s="65"/>
      <c r="AJ84" s="45">
        <f>IF(AN84=0,K84,0)</f>
        <v>0</v>
      </c>
      <c r="AK84" s="45">
        <f>IF(AN84=15,K84,0)</f>
        <v>0</v>
      </c>
      <c r="AL84" s="45">
        <f>IF(AN84=21,K84,0)</f>
        <v>0</v>
      </c>
      <c r="AN84" s="70">
        <v>21</v>
      </c>
      <c r="AO84" s="70">
        <f>H84*1</f>
        <v>0</v>
      </c>
      <c r="AP84" s="70">
        <f>H84*(1-1)</f>
        <v>0</v>
      </c>
      <c r="AQ84" s="66" t="s">
        <v>55</v>
      </c>
      <c r="AV84" s="70">
        <f>AW84+AX84</f>
        <v>0</v>
      </c>
      <c r="AW84" s="70">
        <f>G84*AO84</f>
        <v>0</v>
      </c>
      <c r="AX84" s="70">
        <f>G84*AP84</f>
        <v>0</v>
      </c>
      <c r="AY84" s="71" t="s">
        <v>234</v>
      </c>
      <c r="AZ84" s="71" t="s">
        <v>240</v>
      </c>
      <c r="BA84" s="65" t="s">
        <v>241</v>
      </c>
      <c r="BC84" s="70">
        <f>AW84+AX84</f>
        <v>0</v>
      </c>
      <c r="BD84" s="70">
        <f>H84/(100-BE84)*100</f>
        <v>0</v>
      </c>
      <c r="BE84" s="70">
        <v>0</v>
      </c>
      <c r="BF84" s="70">
        <f>84</f>
        <v>84</v>
      </c>
      <c r="BH84" s="45">
        <f>G84*AO84</f>
        <v>0</v>
      </c>
      <c r="BI84" s="45">
        <f>G84*AP84</f>
        <v>0</v>
      </c>
      <c r="BJ84" s="45">
        <f>G84*H84</f>
        <v>0</v>
      </c>
    </row>
    <row r="85" spans="1:12" ht="12.75">
      <c r="A85" s="14"/>
      <c r="B85" s="14"/>
      <c r="C85" s="14"/>
      <c r="D85" s="14"/>
      <c r="E85" s="14"/>
      <c r="F85" s="14"/>
      <c r="G85" s="14"/>
      <c r="H85" s="14"/>
      <c r="I85" s="52" t="s">
        <v>209</v>
      </c>
      <c r="J85" s="55"/>
      <c r="K85" s="74">
        <f>K12+K23+K33+K37+K40+K43+K49+K55+K58+K72+K74</f>
        <v>0</v>
      </c>
      <c r="L85" s="14"/>
    </row>
    <row r="86" ht="11.25" customHeight="1">
      <c r="A86" s="15" t="s">
        <v>53</v>
      </c>
    </row>
    <row r="87" spans="1:12" ht="12.75">
      <c r="A87" s="16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</row>
  </sheetData>
  <mergeCells count="103">
    <mergeCell ref="A1:L1"/>
    <mergeCell ref="A2:B3"/>
    <mergeCell ref="C2:C3"/>
    <mergeCell ref="D2:E3"/>
    <mergeCell ref="F2:G3"/>
    <mergeCell ref="H2:H3"/>
    <mergeCell ref="I2:L3"/>
    <mergeCell ref="A4:B5"/>
    <mergeCell ref="C4:C5"/>
    <mergeCell ref="D4:E5"/>
    <mergeCell ref="F4:G5"/>
    <mergeCell ref="H4:H5"/>
    <mergeCell ref="I4:L5"/>
    <mergeCell ref="A6:B7"/>
    <mergeCell ref="C6:C7"/>
    <mergeCell ref="D6:E7"/>
    <mergeCell ref="F6:G7"/>
    <mergeCell ref="H6:H7"/>
    <mergeCell ref="I6:L7"/>
    <mergeCell ref="A8:B9"/>
    <mergeCell ref="C8:C9"/>
    <mergeCell ref="D8:E9"/>
    <mergeCell ref="F8:G9"/>
    <mergeCell ref="H8:H9"/>
    <mergeCell ref="I8:L9"/>
    <mergeCell ref="C10:E10"/>
    <mergeCell ref="I10:K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L28"/>
    <mergeCell ref="C29:E29"/>
    <mergeCell ref="C30:L30"/>
    <mergeCell ref="C31:E31"/>
    <mergeCell ref="C32:L32"/>
    <mergeCell ref="C33:E33"/>
    <mergeCell ref="C34:E34"/>
    <mergeCell ref="C35:E35"/>
    <mergeCell ref="C36:L36"/>
    <mergeCell ref="C37:E37"/>
    <mergeCell ref="C38:E38"/>
    <mergeCell ref="C39:E39"/>
    <mergeCell ref="C40:E40"/>
    <mergeCell ref="C41:E41"/>
    <mergeCell ref="C42:L42"/>
    <mergeCell ref="C43:E43"/>
    <mergeCell ref="C44:E44"/>
    <mergeCell ref="C45:L45"/>
    <mergeCell ref="C46:E46"/>
    <mergeCell ref="C47:E47"/>
    <mergeCell ref="C48:E48"/>
    <mergeCell ref="C49:E49"/>
    <mergeCell ref="C50:E50"/>
    <mergeCell ref="C51:L51"/>
    <mergeCell ref="C52:E52"/>
    <mergeCell ref="C53:L53"/>
    <mergeCell ref="C54:E54"/>
    <mergeCell ref="C55:E55"/>
    <mergeCell ref="C56:E56"/>
    <mergeCell ref="C57:L57"/>
    <mergeCell ref="C58:E58"/>
    <mergeCell ref="C59:E59"/>
    <mergeCell ref="C60:E60"/>
    <mergeCell ref="C61:L61"/>
    <mergeCell ref="C62:E62"/>
    <mergeCell ref="C63:E63"/>
    <mergeCell ref="C64:E64"/>
    <mergeCell ref="C65:E65"/>
    <mergeCell ref="C66:L66"/>
    <mergeCell ref="C67:E67"/>
    <mergeCell ref="C68:L68"/>
    <mergeCell ref="C69:E69"/>
    <mergeCell ref="C70:E70"/>
    <mergeCell ref="C71:L71"/>
    <mergeCell ref="C72:E72"/>
    <mergeCell ref="C73:E73"/>
    <mergeCell ref="C74:E74"/>
    <mergeCell ref="C75:E75"/>
    <mergeCell ref="C76:L76"/>
    <mergeCell ref="C77:E77"/>
    <mergeCell ref="C78:E78"/>
    <mergeCell ref="C79:L79"/>
    <mergeCell ref="C80:E80"/>
    <mergeCell ref="C81:E81"/>
    <mergeCell ref="C82:E82"/>
    <mergeCell ref="C83:L83"/>
    <mergeCell ref="C84:E84"/>
    <mergeCell ref="I85:J85"/>
    <mergeCell ref="A87:L87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pane ySplit="10" topLeftCell="A11" activePane="bottomLeft" state="frozen"/>
      <selection pane="bottomLeft" activeCell="A1" sqref="A1:G1"/>
    </sheetView>
  </sheetViews>
  <sheetFormatPr defaultColWidth="11.57421875" defaultRowHeight="12.75"/>
  <cols>
    <col min="1" max="2" width="16.57421875" customWidth="1"/>
    <col min="3" max="3" width="41.7109375" customWidth="1"/>
    <col min="5" max="5" width="22.140625" customWidth="1"/>
    <col min="6" max="6" width="21.00390625" customWidth="1"/>
    <col min="7" max="7" width="20.8515625" customWidth="1"/>
    <col min="8" max="9" width="0" hidden="1" customWidth="1"/>
  </cols>
  <sheetData>
    <row r="1" spans="1:7" ht="72.75" customHeight="1">
      <c r="A1" s="141" t="s">
        <v>245</v>
      </c>
      <c r="B1" s="17"/>
      <c r="C1" s="17"/>
      <c r="D1" s="17"/>
      <c r="E1" s="17"/>
      <c r="F1" s="17"/>
      <c r="G1" s="17"/>
    </row>
    <row r="2" spans="1:8" ht="12.75">
      <c r="A2" s="3" t="s">
        <v>1</v>
      </c>
      <c r="B2" s="26" t="str">
        <f>'Stavební rozpočet'!C2</f>
        <v>Nová Autobusová Zástávka - TURNOV - LIDL</v>
      </c>
      <c r="C2" s="55"/>
      <c r="D2" s="47" t="s">
        <v>200</v>
      </c>
      <c r="E2" s="47" t="str">
        <f>'Stavební rozpočet'!I2</f>
        <v> </v>
      </c>
      <c r="F2" s="18"/>
      <c r="G2" s="58"/>
      <c r="H2" s="68"/>
    </row>
    <row r="3" spans="1:8" ht="12.75">
      <c r="A3" s="4"/>
      <c r="B3" s="27"/>
      <c r="C3" s="27"/>
      <c r="D3" s="19"/>
      <c r="E3" s="19"/>
      <c r="F3" s="19"/>
      <c r="G3" s="59"/>
      <c r="H3" s="68"/>
    </row>
    <row r="4" spans="1:8" ht="12.75">
      <c r="A4" s="5" t="s">
        <v>2</v>
      </c>
      <c r="B4" s="16" t="str">
        <f>'Stavební rozpočet'!C4</f>
        <v> </v>
      </c>
      <c r="C4" s="19"/>
      <c r="D4" s="16" t="s">
        <v>201</v>
      </c>
      <c r="E4" s="16" t="str">
        <f>'Stavební rozpočet'!I4</f>
        <v> </v>
      </c>
      <c r="F4" s="19"/>
      <c r="G4" s="59"/>
      <c r="H4" s="68"/>
    </row>
    <row r="5" spans="1:8" ht="12.75">
      <c r="A5" s="4"/>
      <c r="B5" s="19"/>
      <c r="C5" s="19"/>
      <c r="D5" s="19"/>
      <c r="E5" s="19"/>
      <c r="F5" s="19"/>
      <c r="G5" s="59"/>
      <c r="H5" s="68"/>
    </row>
    <row r="6" spans="1:8" ht="12.75">
      <c r="A6" s="5" t="s">
        <v>3</v>
      </c>
      <c r="B6" s="16" t="str">
        <f>'Stavební rozpočet'!C6</f>
        <v>Turnov - průjezdní úsek silnice I/35</v>
      </c>
      <c r="C6" s="19"/>
      <c r="D6" s="16" t="s">
        <v>202</v>
      </c>
      <c r="E6" s="16" t="str">
        <f>'Stavební rozpočet'!I6</f>
        <v> </v>
      </c>
      <c r="F6" s="19"/>
      <c r="G6" s="59"/>
      <c r="H6" s="68"/>
    </row>
    <row r="7" spans="1:8" ht="12.75">
      <c r="A7" s="4"/>
      <c r="B7" s="19"/>
      <c r="C7" s="19"/>
      <c r="D7" s="19"/>
      <c r="E7" s="19"/>
      <c r="F7" s="19"/>
      <c r="G7" s="59"/>
      <c r="H7" s="68"/>
    </row>
    <row r="8" spans="1:8" ht="12.75">
      <c r="A8" s="5" t="s">
        <v>203</v>
      </c>
      <c r="B8" s="16" t="str">
        <f>'Stavební rozpočet'!I8</f>
        <v> </v>
      </c>
      <c r="C8" s="19"/>
      <c r="D8" s="32" t="s">
        <v>187</v>
      </c>
      <c r="E8" s="16" t="str">
        <f>'Stavební rozpočet'!F8</f>
        <v>15.11.2017</v>
      </c>
      <c r="F8" s="19"/>
      <c r="G8" s="59"/>
      <c r="H8" s="68"/>
    </row>
    <row r="9" spans="1:8" ht="12.75">
      <c r="A9" s="6"/>
      <c r="B9" s="20"/>
      <c r="C9" s="20"/>
      <c r="D9" s="20"/>
      <c r="E9" s="20"/>
      <c r="F9" s="20"/>
      <c r="G9" s="60"/>
      <c r="H9" s="68"/>
    </row>
    <row r="10" spans="1:8" ht="12.75">
      <c r="A10" s="75" t="s">
        <v>246</v>
      </c>
      <c r="B10" s="77" t="s">
        <v>54</v>
      </c>
      <c r="C10" s="78" t="s">
        <v>110</v>
      </c>
      <c r="D10" s="79"/>
      <c r="E10" s="81" t="s">
        <v>247</v>
      </c>
      <c r="F10" s="81" t="s">
        <v>248</v>
      </c>
      <c r="G10" s="81" t="s">
        <v>249</v>
      </c>
      <c r="H10" s="68"/>
    </row>
    <row r="11" spans="1:9" ht="12.75">
      <c r="A11" s="76"/>
      <c r="B11" s="76" t="s">
        <v>55</v>
      </c>
      <c r="C11" s="76" t="s">
        <v>112</v>
      </c>
      <c r="D11" s="80"/>
      <c r="E11" s="83">
        <f>'Stavební rozpočet'!I12</f>
        <v>0</v>
      </c>
      <c r="F11" s="83">
        <f>'Stavební rozpočet'!J12</f>
        <v>0</v>
      </c>
      <c r="G11" s="83">
        <f>'Stavební rozpočet'!K12</f>
        <v>0</v>
      </c>
      <c r="H11" s="70" t="s">
        <v>250</v>
      </c>
      <c r="I11" s="70">
        <f>IF(H11="F",0,G11)</f>
        <v>0</v>
      </c>
    </row>
    <row r="12" spans="1:9" ht="12.75">
      <c r="A12" s="32"/>
      <c r="B12" s="32" t="s">
        <v>17</v>
      </c>
      <c r="C12" s="32" t="s">
        <v>123</v>
      </c>
      <c r="D12" s="19"/>
      <c r="E12" s="70">
        <f>'Stavební rozpočet'!I23</f>
        <v>0</v>
      </c>
      <c r="F12" s="70">
        <f>'Stavební rozpočet'!J23</f>
        <v>0</v>
      </c>
      <c r="G12" s="70">
        <f>'Stavební rozpočet'!K23</f>
        <v>0</v>
      </c>
      <c r="H12" s="70" t="s">
        <v>250</v>
      </c>
      <c r="I12" s="70">
        <f>IF(H12="F",0,G12)</f>
        <v>0</v>
      </c>
    </row>
    <row r="13" spans="1:9" ht="12.75">
      <c r="A13" s="32"/>
      <c r="B13" s="32" t="s">
        <v>18</v>
      </c>
      <c r="C13" s="32" t="s">
        <v>133</v>
      </c>
      <c r="D13" s="19"/>
      <c r="E13" s="70">
        <f>'Stavební rozpočet'!I33</f>
        <v>0</v>
      </c>
      <c r="F13" s="70">
        <f>'Stavební rozpočet'!J33</f>
        <v>0</v>
      </c>
      <c r="G13" s="70">
        <f>'Stavební rozpočet'!K33</f>
        <v>0</v>
      </c>
      <c r="H13" s="70" t="s">
        <v>250</v>
      </c>
      <c r="I13" s="70">
        <f>IF(H13="F",0,G13)</f>
        <v>0</v>
      </c>
    </row>
    <row r="14" spans="1:9" ht="12.75">
      <c r="A14" s="32"/>
      <c r="B14" s="32" t="s">
        <v>22</v>
      </c>
      <c r="C14" s="32" t="s">
        <v>137</v>
      </c>
      <c r="D14" s="19"/>
      <c r="E14" s="70">
        <f>'Stavební rozpočet'!I37</f>
        <v>0</v>
      </c>
      <c r="F14" s="70">
        <f>'Stavební rozpočet'!J37</f>
        <v>0</v>
      </c>
      <c r="G14" s="70">
        <f>'Stavební rozpočet'!K37</f>
        <v>0</v>
      </c>
      <c r="H14" s="70" t="s">
        <v>250</v>
      </c>
      <c r="I14" s="70">
        <f>IF(H14="F",0,G14)</f>
        <v>0</v>
      </c>
    </row>
    <row r="15" spans="1:9" ht="12.75">
      <c r="A15" s="32"/>
      <c r="B15" s="32" t="s">
        <v>38</v>
      </c>
      <c r="C15" s="32" t="s">
        <v>140</v>
      </c>
      <c r="D15" s="19"/>
      <c r="E15" s="70">
        <f>'Stavební rozpočet'!I40</f>
        <v>0</v>
      </c>
      <c r="F15" s="70">
        <f>'Stavební rozpočet'!J40</f>
        <v>0</v>
      </c>
      <c r="G15" s="70">
        <f>'Stavební rozpočet'!K40</f>
        <v>0</v>
      </c>
      <c r="H15" s="70" t="s">
        <v>250</v>
      </c>
      <c r="I15" s="70">
        <f>IF(H15="F",0,G15)</f>
        <v>0</v>
      </c>
    </row>
    <row r="16" spans="1:9" ht="12.75">
      <c r="A16" s="32"/>
      <c r="B16" s="32" t="s">
        <v>78</v>
      </c>
      <c r="C16" s="32" t="s">
        <v>143</v>
      </c>
      <c r="D16" s="19"/>
      <c r="E16" s="70">
        <f>'Stavební rozpočet'!I43</f>
        <v>0</v>
      </c>
      <c r="F16" s="70">
        <f>'Stavební rozpočet'!J43</f>
        <v>0</v>
      </c>
      <c r="G16" s="70">
        <f>'Stavební rozpočet'!K43</f>
        <v>0</v>
      </c>
      <c r="H16" s="70" t="s">
        <v>250</v>
      </c>
      <c r="I16" s="70">
        <f>IF(H16="F",0,G16)</f>
        <v>0</v>
      </c>
    </row>
    <row r="17" spans="1:9" ht="12.75">
      <c r="A17" s="32"/>
      <c r="B17" s="32" t="s">
        <v>83</v>
      </c>
      <c r="C17" s="32" t="s">
        <v>149</v>
      </c>
      <c r="D17" s="19"/>
      <c r="E17" s="70">
        <f>'Stavební rozpočet'!I49</f>
        <v>0</v>
      </c>
      <c r="F17" s="70">
        <f>'Stavební rozpočet'!J49</f>
        <v>0</v>
      </c>
      <c r="G17" s="70">
        <f>'Stavební rozpočet'!K49</f>
        <v>0</v>
      </c>
      <c r="H17" s="70" t="s">
        <v>250</v>
      </c>
      <c r="I17" s="70">
        <f>IF(H17="F",0,G17)</f>
        <v>0</v>
      </c>
    </row>
    <row r="18" spans="1:9" ht="12.75">
      <c r="A18" s="32"/>
      <c r="B18" s="32" t="s">
        <v>87</v>
      </c>
      <c r="C18" s="32" t="s">
        <v>155</v>
      </c>
      <c r="D18" s="19"/>
      <c r="E18" s="70">
        <f>'Stavební rozpočet'!I55</f>
        <v>0</v>
      </c>
      <c r="F18" s="70">
        <f>'Stavební rozpočet'!J55</f>
        <v>0</v>
      </c>
      <c r="G18" s="70">
        <f>'Stavební rozpočet'!K55</f>
        <v>0</v>
      </c>
      <c r="H18" s="70" t="s">
        <v>250</v>
      </c>
      <c r="I18" s="70">
        <f>IF(H18="F",0,G18)</f>
        <v>0</v>
      </c>
    </row>
    <row r="19" spans="1:9" ht="12.75">
      <c r="A19" s="32"/>
      <c r="B19" s="32" t="s">
        <v>89</v>
      </c>
      <c r="C19" s="32" t="s">
        <v>158</v>
      </c>
      <c r="D19" s="19"/>
      <c r="E19" s="70">
        <f>'Stavební rozpočet'!I58</f>
        <v>0</v>
      </c>
      <c r="F19" s="70">
        <f>'Stavební rozpočet'!J58</f>
        <v>0</v>
      </c>
      <c r="G19" s="70">
        <f>'Stavební rozpočet'!K58</f>
        <v>0</v>
      </c>
      <c r="H19" s="70" t="s">
        <v>250</v>
      </c>
      <c r="I19" s="70">
        <f>IF(H19="F",0,G19)</f>
        <v>0</v>
      </c>
    </row>
    <row r="20" spans="1:9" ht="12.75">
      <c r="A20" s="32"/>
      <c r="B20" s="32" t="s">
        <v>99</v>
      </c>
      <c r="C20" s="32" t="s">
        <v>171</v>
      </c>
      <c r="D20" s="19"/>
      <c r="E20" s="70">
        <f>'Stavební rozpočet'!I72</f>
        <v>0</v>
      </c>
      <c r="F20" s="70">
        <f>'Stavební rozpočet'!J72</f>
        <v>0</v>
      </c>
      <c r="G20" s="70">
        <f>'Stavební rozpočet'!K72</f>
        <v>0</v>
      </c>
      <c r="H20" s="70" t="s">
        <v>250</v>
      </c>
      <c r="I20" s="70">
        <f>IF(H20="F",0,G20)</f>
        <v>0</v>
      </c>
    </row>
    <row r="21" spans="1:9" ht="12.75">
      <c r="A21" s="32"/>
      <c r="B21" s="32"/>
      <c r="C21" s="32" t="s">
        <v>173</v>
      </c>
      <c r="D21" s="19"/>
      <c r="E21" s="70">
        <f>'Stavební rozpočet'!I74</f>
        <v>0</v>
      </c>
      <c r="F21" s="70">
        <f>'Stavební rozpočet'!J74</f>
        <v>0</v>
      </c>
      <c r="G21" s="70">
        <f>'Stavební rozpočet'!K74</f>
        <v>0</v>
      </c>
      <c r="H21" s="70" t="s">
        <v>250</v>
      </c>
      <c r="I21" s="70">
        <f>IF(H21="F",0,G21)</f>
        <v>0</v>
      </c>
    </row>
    <row r="23" spans="6:7" ht="12.75">
      <c r="F23" s="82" t="s">
        <v>209</v>
      </c>
      <c r="G23" s="84">
        <f>SUM(I11:I21)</f>
        <v>0</v>
      </c>
    </row>
  </sheetData>
  <mergeCells count="29">
    <mergeCell ref="A1:G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9"/>
  <sheetViews>
    <sheetView workbookViewId="0" topLeftCell="A1">
      <pane ySplit="10" topLeftCell="A11" activePane="bottomLeft" state="frozen"/>
      <selection pane="bottomLeft" activeCell="A1" sqref="A1:H1"/>
    </sheetView>
  </sheetViews>
  <sheetFormatPr defaultColWidth="11.57421875" defaultRowHeight="12.75"/>
  <cols>
    <col min="1" max="2" width="9.140625" customWidth="1"/>
    <col min="3" max="3" width="13.28125" customWidth="1"/>
    <col min="4" max="4" width="46.421875" customWidth="1"/>
    <col min="5" max="5" width="14.57421875" customWidth="1"/>
    <col min="6" max="6" width="24.140625" customWidth="1"/>
    <col min="7" max="7" width="15.7109375" customWidth="1"/>
    <col min="8" max="8" width="18.140625" customWidth="1"/>
  </cols>
  <sheetData>
    <row r="1" spans="1:8" ht="72.75" customHeight="1">
      <c r="A1" s="141" t="s">
        <v>251</v>
      </c>
      <c r="B1" s="17"/>
      <c r="C1" s="17"/>
      <c r="D1" s="17"/>
      <c r="E1" s="17"/>
      <c r="F1" s="17"/>
      <c r="G1" s="17"/>
      <c r="H1" s="17"/>
    </row>
    <row r="2" spans="1:9" ht="12.75">
      <c r="A2" s="3" t="s">
        <v>1</v>
      </c>
      <c r="B2" s="18"/>
      <c r="C2" s="26" t="str">
        <f>'Stavební rozpočet'!C2</f>
        <v>Nová Autobusová Zástávka - TURNOV - LIDL</v>
      </c>
      <c r="D2" s="55"/>
      <c r="E2" s="47" t="s">
        <v>200</v>
      </c>
      <c r="F2" s="47" t="str">
        <f>'Stavební rozpočet'!I2</f>
        <v> </v>
      </c>
      <c r="G2" s="18"/>
      <c r="H2" s="58"/>
      <c r="I2" s="68"/>
    </row>
    <row r="3" spans="1:9" ht="12.75">
      <c r="A3" s="4"/>
      <c r="B3" s="19"/>
      <c r="C3" s="27"/>
      <c r="D3" s="27"/>
      <c r="E3" s="19"/>
      <c r="F3" s="19"/>
      <c r="G3" s="19"/>
      <c r="H3" s="59"/>
      <c r="I3" s="68"/>
    </row>
    <row r="4" spans="1:9" ht="12.75">
      <c r="A4" s="5" t="s">
        <v>2</v>
      </c>
      <c r="B4" s="19"/>
      <c r="C4" s="16" t="str">
        <f>'Stavební rozpočet'!C4</f>
        <v> </v>
      </c>
      <c r="D4" s="19"/>
      <c r="E4" s="16" t="s">
        <v>201</v>
      </c>
      <c r="F4" s="16" t="str">
        <f>'Stavební rozpočet'!I4</f>
        <v> </v>
      </c>
      <c r="G4" s="19"/>
      <c r="H4" s="59"/>
      <c r="I4" s="68"/>
    </row>
    <row r="5" spans="1:9" ht="12.75">
      <c r="A5" s="4"/>
      <c r="B5" s="19"/>
      <c r="C5" s="19"/>
      <c r="D5" s="19"/>
      <c r="E5" s="19"/>
      <c r="F5" s="19"/>
      <c r="G5" s="19"/>
      <c r="H5" s="59"/>
      <c r="I5" s="68"/>
    </row>
    <row r="6" spans="1:9" ht="12.75">
      <c r="A6" s="5" t="s">
        <v>3</v>
      </c>
      <c r="B6" s="19"/>
      <c r="C6" s="16" t="str">
        <f>'Stavební rozpočet'!C6</f>
        <v>Turnov - průjezdní úsek silnice I/35</v>
      </c>
      <c r="D6" s="19"/>
      <c r="E6" s="16" t="s">
        <v>202</v>
      </c>
      <c r="F6" s="16" t="str">
        <f>'Stavební rozpočet'!I6</f>
        <v> </v>
      </c>
      <c r="G6" s="19"/>
      <c r="H6" s="59"/>
      <c r="I6" s="68"/>
    </row>
    <row r="7" spans="1:9" ht="12.75">
      <c r="A7" s="4"/>
      <c r="B7" s="19"/>
      <c r="C7" s="19"/>
      <c r="D7" s="19"/>
      <c r="E7" s="19"/>
      <c r="F7" s="19"/>
      <c r="G7" s="19"/>
      <c r="H7" s="59"/>
      <c r="I7" s="68"/>
    </row>
    <row r="8" spans="1:9" ht="12.75">
      <c r="A8" s="5" t="s">
        <v>203</v>
      </c>
      <c r="B8" s="19"/>
      <c r="C8" s="16" t="str">
        <f>'Stavební rozpočet'!I8</f>
        <v> </v>
      </c>
      <c r="D8" s="19"/>
      <c r="E8" s="16" t="s">
        <v>187</v>
      </c>
      <c r="F8" s="16" t="str">
        <f>'Stavební rozpočet'!F8</f>
        <v>15.11.2017</v>
      </c>
      <c r="G8" s="19"/>
      <c r="H8" s="59"/>
      <c r="I8" s="68"/>
    </row>
    <row r="9" spans="1:9" ht="12.75">
      <c r="A9" s="6"/>
      <c r="B9" s="20"/>
      <c r="C9" s="20"/>
      <c r="D9" s="20"/>
      <c r="E9" s="20"/>
      <c r="F9" s="20"/>
      <c r="G9" s="20"/>
      <c r="H9" s="60"/>
      <c r="I9" s="68"/>
    </row>
    <row r="10" spans="1:9" ht="12.75">
      <c r="A10" s="77" t="s">
        <v>5</v>
      </c>
      <c r="B10" s="86" t="s">
        <v>246</v>
      </c>
      <c r="C10" s="86" t="s">
        <v>54</v>
      </c>
      <c r="D10" s="78" t="s">
        <v>110</v>
      </c>
      <c r="E10" s="79"/>
      <c r="F10" s="86" t="s">
        <v>189</v>
      </c>
      <c r="G10" s="93" t="s">
        <v>199</v>
      </c>
      <c r="H10" s="75" t="s">
        <v>292</v>
      </c>
      <c r="I10" s="69"/>
    </row>
    <row r="11" spans="1:8" ht="12.75">
      <c r="A11" s="85" t="s">
        <v>7</v>
      </c>
      <c r="B11" s="85"/>
      <c r="C11" s="85" t="s">
        <v>56</v>
      </c>
      <c r="D11" s="85" t="s">
        <v>113</v>
      </c>
      <c r="E11" s="90"/>
      <c r="F11" s="85" t="s">
        <v>190</v>
      </c>
      <c r="G11" s="94">
        <v>0.1</v>
      </c>
      <c r="H11" s="94">
        <v>0</v>
      </c>
    </row>
    <row r="12" spans="4:7" ht="12" customHeight="1">
      <c r="D12" s="88" t="s">
        <v>252</v>
      </c>
      <c r="E12" s="91"/>
      <c r="F12" s="91"/>
      <c r="G12" s="95">
        <v>0.1</v>
      </c>
    </row>
    <row r="13" spans="1:8" ht="12.75">
      <c r="A13" s="10" t="s">
        <v>8</v>
      </c>
      <c r="B13" s="10"/>
      <c r="C13" s="10" t="s">
        <v>57</v>
      </c>
      <c r="D13" s="10" t="s">
        <v>114</v>
      </c>
      <c r="E13" s="36"/>
      <c r="F13" s="10" t="s">
        <v>190</v>
      </c>
      <c r="G13" s="44">
        <v>0.2</v>
      </c>
      <c r="H13" s="44">
        <v>0</v>
      </c>
    </row>
    <row r="14" spans="4:7" ht="12" customHeight="1">
      <c r="D14" s="88" t="s">
        <v>253</v>
      </c>
      <c r="E14" s="91"/>
      <c r="F14" s="91"/>
      <c r="G14" s="95">
        <v>0.2</v>
      </c>
    </row>
    <row r="15" spans="1:8" ht="12.75">
      <c r="A15" s="10" t="s">
        <v>9</v>
      </c>
      <c r="B15" s="10"/>
      <c r="C15" s="10" t="s">
        <v>58</v>
      </c>
      <c r="D15" s="10" t="s">
        <v>115</v>
      </c>
      <c r="E15" s="36"/>
      <c r="F15" s="10" t="s">
        <v>190</v>
      </c>
      <c r="G15" s="44">
        <v>0.1</v>
      </c>
      <c r="H15" s="44">
        <v>0</v>
      </c>
    </row>
    <row r="16" spans="4:7" ht="12" customHeight="1">
      <c r="D16" s="88" t="s">
        <v>252</v>
      </c>
      <c r="E16" s="91"/>
      <c r="F16" s="91"/>
      <c r="G16" s="95">
        <v>0.1</v>
      </c>
    </row>
    <row r="17" spans="1:8" ht="12.75">
      <c r="A17" s="10" t="s">
        <v>10</v>
      </c>
      <c r="B17" s="10"/>
      <c r="C17" s="10" t="s">
        <v>59</v>
      </c>
      <c r="D17" s="10" t="s">
        <v>116</v>
      </c>
      <c r="E17" s="36"/>
      <c r="F17" s="10" t="s">
        <v>190</v>
      </c>
      <c r="G17" s="44">
        <v>0.25</v>
      </c>
      <c r="H17" s="44">
        <v>0</v>
      </c>
    </row>
    <row r="18" spans="4:7" ht="12" customHeight="1">
      <c r="D18" s="88" t="s">
        <v>254</v>
      </c>
      <c r="E18" s="91"/>
      <c r="F18" s="91"/>
      <c r="G18" s="95">
        <v>0.25</v>
      </c>
    </row>
    <row r="19" spans="1:8" ht="12.75">
      <c r="A19" s="10" t="s">
        <v>11</v>
      </c>
      <c r="B19" s="10"/>
      <c r="C19" s="10" t="s">
        <v>60</v>
      </c>
      <c r="D19" s="10" t="s">
        <v>117</v>
      </c>
      <c r="E19" s="36"/>
      <c r="F19" s="10" t="s">
        <v>191</v>
      </c>
      <c r="G19" s="44">
        <v>0.1</v>
      </c>
      <c r="H19" s="44">
        <v>0</v>
      </c>
    </row>
    <row r="20" spans="4:7" ht="12" customHeight="1">
      <c r="D20" s="88" t="s">
        <v>252</v>
      </c>
      <c r="E20" s="91"/>
      <c r="F20" s="91"/>
      <c r="G20" s="95">
        <v>0.1</v>
      </c>
    </row>
    <row r="21" spans="1:8" ht="12.75">
      <c r="A21" s="10" t="s">
        <v>12</v>
      </c>
      <c r="B21" s="10"/>
      <c r="C21" s="10" t="s">
        <v>61</v>
      </c>
      <c r="D21" s="10" t="s">
        <v>118</v>
      </c>
      <c r="E21" s="36"/>
      <c r="F21" s="10" t="s">
        <v>190</v>
      </c>
      <c r="G21" s="44">
        <v>0.1</v>
      </c>
      <c r="H21" s="44">
        <v>0</v>
      </c>
    </row>
    <row r="22" spans="4:7" ht="12" customHeight="1">
      <c r="D22" s="88" t="s">
        <v>252</v>
      </c>
      <c r="E22" s="91"/>
      <c r="F22" s="91"/>
      <c r="G22" s="95">
        <v>0.1</v>
      </c>
    </row>
    <row r="23" spans="1:8" ht="12.75">
      <c r="A23" s="10" t="s">
        <v>13</v>
      </c>
      <c r="B23" s="10"/>
      <c r="C23" s="10" t="s">
        <v>62</v>
      </c>
      <c r="D23" s="10" t="s">
        <v>119</v>
      </c>
      <c r="E23" s="36"/>
      <c r="F23" s="10" t="s">
        <v>190</v>
      </c>
      <c r="G23" s="44">
        <v>0.2</v>
      </c>
      <c r="H23" s="44">
        <v>0</v>
      </c>
    </row>
    <row r="24" spans="4:7" ht="12" customHeight="1">
      <c r="D24" s="88" t="s">
        <v>253</v>
      </c>
      <c r="E24" s="91"/>
      <c r="F24" s="91"/>
      <c r="G24" s="95">
        <v>0.2</v>
      </c>
    </row>
    <row r="25" spans="1:8" ht="12.75">
      <c r="A25" s="10" t="s">
        <v>14</v>
      </c>
      <c r="B25" s="10"/>
      <c r="C25" s="10" t="s">
        <v>63</v>
      </c>
      <c r="D25" s="10" t="s">
        <v>120</v>
      </c>
      <c r="E25" s="36"/>
      <c r="F25" s="10" t="s">
        <v>190</v>
      </c>
      <c r="G25" s="44">
        <v>0.2</v>
      </c>
      <c r="H25" s="44">
        <v>0</v>
      </c>
    </row>
    <row r="26" spans="4:7" ht="12" customHeight="1">
      <c r="D26" s="88" t="s">
        <v>253</v>
      </c>
      <c r="E26" s="91"/>
      <c r="F26" s="91"/>
      <c r="G26" s="95">
        <v>0.2</v>
      </c>
    </row>
    <row r="27" spans="1:8" ht="12.75">
      <c r="A27" s="10" t="s">
        <v>15</v>
      </c>
      <c r="B27" s="10"/>
      <c r="C27" s="10" t="s">
        <v>64</v>
      </c>
      <c r="D27" s="10" t="s">
        <v>121</v>
      </c>
      <c r="E27" s="36"/>
      <c r="F27" s="10" t="s">
        <v>190</v>
      </c>
      <c r="G27" s="44">
        <v>0.2</v>
      </c>
      <c r="H27" s="44">
        <v>0</v>
      </c>
    </row>
    <row r="28" spans="4:7" ht="12" customHeight="1">
      <c r="D28" s="88" t="s">
        <v>253</v>
      </c>
      <c r="E28" s="91"/>
      <c r="F28" s="91"/>
      <c r="G28" s="95">
        <v>0.2</v>
      </c>
    </row>
    <row r="29" spans="1:8" ht="12.75">
      <c r="A29" s="10" t="s">
        <v>16</v>
      </c>
      <c r="B29" s="10"/>
      <c r="C29" s="10" t="s">
        <v>65</v>
      </c>
      <c r="D29" s="10" t="s">
        <v>122</v>
      </c>
      <c r="E29" s="36"/>
      <c r="F29" s="10" t="s">
        <v>190</v>
      </c>
      <c r="G29" s="44">
        <v>0.15</v>
      </c>
      <c r="H29" s="44">
        <v>0</v>
      </c>
    </row>
    <row r="30" spans="4:7" ht="12" customHeight="1">
      <c r="D30" s="88" t="s">
        <v>255</v>
      </c>
      <c r="E30" s="91"/>
      <c r="F30" s="91"/>
      <c r="G30" s="95">
        <v>0.15</v>
      </c>
    </row>
    <row r="31" spans="1:8" ht="12.75">
      <c r="A31" s="10" t="s">
        <v>17</v>
      </c>
      <c r="B31" s="10"/>
      <c r="C31" s="10" t="s">
        <v>66</v>
      </c>
      <c r="D31" s="10" t="s">
        <v>124</v>
      </c>
      <c r="E31" s="36"/>
      <c r="F31" s="10" t="s">
        <v>192</v>
      </c>
      <c r="G31" s="44">
        <v>0.0325</v>
      </c>
      <c r="H31" s="44">
        <v>0</v>
      </c>
    </row>
    <row r="32" spans="4:7" ht="12" customHeight="1">
      <c r="D32" s="88" t="s">
        <v>256</v>
      </c>
      <c r="E32" s="91"/>
      <c r="F32" s="91"/>
      <c r="G32" s="95">
        <v>0.0325</v>
      </c>
    </row>
    <row r="33" spans="1:8" ht="12.75">
      <c r="A33" s="10" t="s">
        <v>18</v>
      </c>
      <c r="B33" s="10"/>
      <c r="C33" s="10" t="s">
        <v>67</v>
      </c>
      <c r="D33" s="10" t="s">
        <v>125</v>
      </c>
      <c r="E33" s="36"/>
      <c r="F33" s="10" t="s">
        <v>193</v>
      </c>
      <c r="G33" s="44">
        <v>57.3</v>
      </c>
      <c r="H33" s="44">
        <v>0</v>
      </c>
    </row>
    <row r="34" spans="4:7" ht="12" customHeight="1">
      <c r="D34" s="88" t="s">
        <v>257</v>
      </c>
      <c r="E34" s="91"/>
      <c r="F34" s="91"/>
      <c r="G34" s="95">
        <v>57.3</v>
      </c>
    </row>
    <row r="35" spans="1:8" ht="12.75">
      <c r="A35" s="10" t="s">
        <v>19</v>
      </c>
      <c r="B35" s="10"/>
      <c r="C35" s="10" t="s">
        <v>68</v>
      </c>
      <c r="D35" s="10" t="s">
        <v>126</v>
      </c>
      <c r="E35" s="36"/>
      <c r="F35" s="10" t="s">
        <v>193</v>
      </c>
      <c r="G35" s="44">
        <v>62.625</v>
      </c>
      <c r="H35" s="44">
        <v>0</v>
      </c>
    </row>
    <row r="36" spans="4:7" ht="12" customHeight="1">
      <c r="D36" s="88" t="s">
        <v>258</v>
      </c>
      <c r="E36" s="91"/>
      <c r="F36" s="91"/>
      <c r="G36" s="95">
        <v>62.625</v>
      </c>
    </row>
    <row r="37" spans="1:8" ht="12.75">
      <c r="A37" s="10" t="s">
        <v>20</v>
      </c>
      <c r="B37" s="10"/>
      <c r="C37" s="10" t="s">
        <v>69</v>
      </c>
      <c r="D37" s="10" t="s">
        <v>127</v>
      </c>
      <c r="E37" s="36"/>
      <c r="F37" s="10" t="s">
        <v>193</v>
      </c>
      <c r="G37" s="44">
        <v>62.62</v>
      </c>
      <c r="H37" s="44">
        <v>0</v>
      </c>
    </row>
    <row r="38" spans="4:7" ht="12" customHeight="1">
      <c r="D38" s="88" t="s">
        <v>259</v>
      </c>
      <c r="E38" s="91"/>
      <c r="F38" s="91"/>
      <c r="G38" s="95">
        <v>62.62</v>
      </c>
    </row>
    <row r="39" spans="3:7" ht="51" customHeight="1">
      <c r="C39" s="87" t="s">
        <v>70</v>
      </c>
      <c r="D39" s="30" t="s">
        <v>128</v>
      </c>
      <c r="E39" s="38"/>
      <c r="F39" s="38"/>
      <c r="G39" s="38"/>
    </row>
    <row r="40" spans="1:8" ht="12.75">
      <c r="A40" s="10" t="s">
        <v>21</v>
      </c>
      <c r="B40" s="10"/>
      <c r="C40" s="10" t="s">
        <v>71</v>
      </c>
      <c r="D40" s="10" t="s">
        <v>129</v>
      </c>
      <c r="E40" s="36"/>
      <c r="F40" s="10" t="s">
        <v>194</v>
      </c>
      <c r="G40" s="44">
        <v>52</v>
      </c>
      <c r="H40" s="44">
        <v>0</v>
      </c>
    </row>
    <row r="41" spans="4:7" ht="12" customHeight="1">
      <c r="D41" s="88" t="s">
        <v>260</v>
      </c>
      <c r="E41" s="91"/>
      <c r="F41" s="91"/>
      <c r="G41" s="95">
        <v>52</v>
      </c>
    </row>
    <row r="42" spans="3:7" ht="12.75" customHeight="1">
      <c r="C42" s="87" t="s">
        <v>70</v>
      </c>
      <c r="D42" s="30" t="s">
        <v>130</v>
      </c>
      <c r="E42" s="38"/>
      <c r="F42" s="38"/>
      <c r="G42" s="38"/>
    </row>
    <row r="43" spans="1:8" ht="12.75">
      <c r="A43" s="10" t="s">
        <v>22</v>
      </c>
      <c r="B43" s="10"/>
      <c r="C43" s="10" t="s">
        <v>72</v>
      </c>
      <c r="D43" s="10" t="s">
        <v>131</v>
      </c>
      <c r="E43" s="36"/>
      <c r="F43" s="10" t="s">
        <v>194</v>
      </c>
      <c r="G43" s="44">
        <v>70</v>
      </c>
      <c r="H43" s="44">
        <v>0</v>
      </c>
    </row>
    <row r="44" spans="4:7" ht="12" customHeight="1">
      <c r="D44" s="88" t="s">
        <v>261</v>
      </c>
      <c r="E44" s="91"/>
      <c r="F44" s="91"/>
      <c r="G44" s="95">
        <v>70</v>
      </c>
    </row>
    <row r="45" spans="3:7" ht="12.75" customHeight="1">
      <c r="C45" s="87" t="s">
        <v>70</v>
      </c>
      <c r="D45" s="30" t="s">
        <v>132</v>
      </c>
      <c r="E45" s="38"/>
      <c r="F45" s="38"/>
      <c r="G45" s="38"/>
    </row>
    <row r="46" spans="1:8" ht="12.75">
      <c r="A46" s="10" t="s">
        <v>23</v>
      </c>
      <c r="B46" s="10"/>
      <c r="C46" s="10" t="s">
        <v>73</v>
      </c>
      <c r="D46" s="10" t="s">
        <v>134</v>
      </c>
      <c r="E46" s="36"/>
      <c r="F46" s="10" t="s">
        <v>195</v>
      </c>
      <c r="G46" s="44">
        <v>380.97</v>
      </c>
      <c r="H46" s="44">
        <v>0</v>
      </c>
    </row>
    <row r="47" spans="4:7" ht="12" customHeight="1">
      <c r="D47" s="88" t="s">
        <v>262</v>
      </c>
      <c r="E47" s="91"/>
      <c r="F47" s="91"/>
      <c r="G47" s="95">
        <v>380.97</v>
      </c>
    </row>
    <row r="48" spans="1:8" ht="12.75">
      <c r="A48" s="10" t="s">
        <v>24</v>
      </c>
      <c r="B48" s="10"/>
      <c r="C48" s="10" t="s">
        <v>74</v>
      </c>
      <c r="D48" s="10" t="s">
        <v>135</v>
      </c>
      <c r="E48" s="36"/>
      <c r="F48" s="10" t="s">
        <v>195</v>
      </c>
      <c r="G48" s="44">
        <v>380.97</v>
      </c>
      <c r="H48" s="44">
        <v>0</v>
      </c>
    </row>
    <row r="49" spans="4:7" ht="12" customHeight="1">
      <c r="D49" s="88" t="s">
        <v>262</v>
      </c>
      <c r="E49" s="91"/>
      <c r="F49" s="91"/>
      <c r="G49" s="95">
        <v>380.97</v>
      </c>
    </row>
    <row r="50" spans="3:7" ht="12.75" customHeight="1">
      <c r="C50" s="87" t="s">
        <v>70</v>
      </c>
      <c r="D50" s="30" t="s">
        <v>136</v>
      </c>
      <c r="E50" s="38"/>
      <c r="F50" s="38"/>
      <c r="G50" s="38"/>
    </row>
    <row r="51" spans="1:8" ht="12.75">
      <c r="A51" s="10" t="s">
        <v>25</v>
      </c>
      <c r="B51" s="10"/>
      <c r="C51" s="10" t="s">
        <v>75</v>
      </c>
      <c r="D51" s="10" t="s">
        <v>138</v>
      </c>
      <c r="E51" s="36"/>
      <c r="F51" s="10" t="s">
        <v>195</v>
      </c>
      <c r="G51" s="44">
        <v>380.97</v>
      </c>
      <c r="H51" s="44">
        <v>0</v>
      </c>
    </row>
    <row r="52" spans="4:7" ht="12" customHeight="1">
      <c r="D52" s="88" t="s">
        <v>262</v>
      </c>
      <c r="E52" s="91"/>
      <c r="F52" s="91"/>
      <c r="G52" s="95">
        <v>380.97</v>
      </c>
    </row>
    <row r="53" spans="1:8" ht="12.75">
      <c r="A53" s="10" t="s">
        <v>26</v>
      </c>
      <c r="B53" s="10"/>
      <c r="C53" s="10" t="s">
        <v>76</v>
      </c>
      <c r="D53" s="10" t="s">
        <v>139</v>
      </c>
      <c r="E53" s="36"/>
      <c r="F53" s="10" t="s">
        <v>195</v>
      </c>
      <c r="G53" s="44">
        <v>380.97</v>
      </c>
      <c r="H53" s="44">
        <v>0</v>
      </c>
    </row>
    <row r="54" spans="4:7" ht="12" customHeight="1">
      <c r="D54" s="88" t="s">
        <v>262</v>
      </c>
      <c r="E54" s="91"/>
      <c r="F54" s="91"/>
      <c r="G54" s="95">
        <v>380.97</v>
      </c>
    </row>
    <row r="55" spans="1:8" ht="12.75">
      <c r="A55" s="10" t="s">
        <v>27</v>
      </c>
      <c r="B55" s="10"/>
      <c r="C55" s="10" t="s">
        <v>77</v>
      </c>
      <c r="D55" s="10" t="s">
        <v>141</v>
      </c>
      <c r="E55" s="36"/>
      <c r="F55" s="10" t="s">
        <v>195</v>
      </c>
      <c r="G55" s="44">
        <v>71.8</v>
      </c>
      <c r="H55" s="44">
        <v>0</v>
      </c>
    </row>
    <row r="56" spans="4:7" ht="12" customHeight="1">
      <c r="D56" s="88" t="s">
        <v>263</v>
      </c>
      <c r="E56" s="91"/>
      <c r="F56" s="91"/>
      <c r="G56" s="95">
        <v>4</v>
      </c>
    </row>
    <row r="57" spans="1:8" ht="12" customHeight="1">
      <c r="A57" s="10"/>
      <c r="B57" s="10"/>
      <c r="C57" s="10"/>
      <c r="D57" s="88" t="s">
        <v>264</v>
      </c>
      <c r="E57" s="91"/>
      <c r="F57" s="88"/>
      <c r="G57" s="95">
        <v>4.8</v>
      </c>
      <c r="H57" s="64"/>
    </row>
    <row r="58" spans="1:8" ht="12" customHeight="1">
      <c r="A58" s="10"/>
      <c r="B58" s="10"/>
      <c r="C58" s="10"/>
      <c r="D58" s="88" t="s">
        <v>265</v>
      </c>
      <c r="E58" s="91"/>
      <c r="F58" s="88"/>
      <c r="G58" s="95">
        <v>8</v>
      </c>
      <c r="H58" s="64"/>
    </row>
    <row r="59" spans="1:8" ht="12" customHeight="1">
      <c r="A59" s="10"/>
      <c r="B59" s="10"/>
      <c r="C59" s="10"/>
      <c r="D59" s="88" t="s">
        <v>266</v>
      </c>
      <c r="E59" s="91"/>
      <c r="F59" s="88"/>
      <c r="G59" s="95">
        <v>49</v>
      </c>
      <c r="H59" s="64"/>
    </row>
    <row r="60" spans="1:8" ht="12" customHeight="1">
      <c r="A60" s="10"/>
      <c r="B60" s="10"/>
      <c r="C60" s="10"/>
      <c r="D60" s="88" t="s">
        <v>267</v>
      </c>
      <c r="E60" s="91"/>
      <c r="F60" s="88"/>
      <c r="G60" s="95">
        <v>6</v>
      </c>
      <c r="H60" s="64"/>
    </row>
    <row r="61" spans="3:7" ht="63.75" customHeight="1">
      <c r="C61" s="87" t="s">
        <v>70</v>
      </c>
      <c r="D61" s="30" t="s">
        <v>142</v>
      </c>
      <c r="E61" s="38"/>
      <c r="F61" s="38"/>
      <c r="G61" s="38"/>
    </row>
    <row r="62" spans="1:8" ht="12.75">
      <c r="A62" s="10" t="s">
        <v>28</v>
      </c>
      <c r="B62" s="10"/>
      <c r="C62" s="10" t="s">
        <v>79</v>
      </c>
      <c r="D62" s="10" t="s">
        <v>144</v>
      </c>
      <c r="E62" s="36"/>
      <c r="F62" s="10" t="s">
        <v>193</v>
      </c>
      <c r="G62" s="44">
        <v>58</v>
      </c>
      <c r="H62" s="44">
        <v>0</v>
      </c>
    </row>
    <row r="63" spans="4:7" ht="12" customHeight="1">
      <c r="D63" s="88" t="s">
        <v>268</v>
      </c>
      <c r="E63" s="91"/>
      <c r="F63" s="91"/>
      <c r="G63" s="95">
        <v>58</v>
      </c>
    </row>
    <row r="64" spans="3:7" ht="38.25" customHeight="1">
      <c r="C64" s="87" t="s">
        <v>70</v>
      </c>
      <c r="D64" s="30" t="s">
        <v>145</v>
      </c>
      <c r="E64" s="38"/>
      <c r="F64" s="38"/>
      <c r="G64" s="38"/>
    </row>
    <row r="65" spans="1:8" ht="12.75">
      <c r="A65" s="10" t="s">
        <v>29</v>
      </c>
      <c r="B65" s="10"/>
      <c r="C65" s="10" t="s">
        <v>80</v>
      </c>
      <c r="D65" s="10" t="s">
        <v>146</v>
      </c>
      <c r="E65" s="36"/>
      <c r="F65" s="10" t="s">
        <v>193</v>
      </c>
      <c r="G65" s="44">
        <v>64.77</v>
      </c>
      <c r="H65" s="44">
        <v>0</v>
      </c>
    </row>
    <row r="66" spans="4:7" ht="12" customHeight="1">
      <c r="D66" s="88" t="s">
        <v>269</v>
      </c>
      <c r="E66" s="91"/>
      <c r="F66" s="91"/>
      <c r="G66" s="95">
        <v>64.77</v>
      </c>
    </row>
    <row r="67" spans="1:8" ht="12.75">
      <c r="A67" s="10" t="s">
        <v>30</v>
      </c>
      <c r="B67" s="10"/>
      <c r="C67" s="10" t="s">
        <v>81</v>
      </c>
      <c r="D67" s="10" t="s">
        <v>147</v>
      </c>
      <c r="E67" s="36"/>
      <c r="F67" s="10" t="s">
        <v>193</v>
      </c>
      <c r="G67" s="44">
        <v>64.77</v>
      </c>
      <c r="H67" s="44">
        <v>0</v>
      </c>
    </row>
    <row r="68" spans="4:7" ht="12" customHeight="1">
      <c r="D68" s="88" t="s">
        <v>269</v>
      </c>
      <c r="E68" s="91"/>
      <c r="F68" s="91"/>
      <c r="G68" s="95">
        <v>64.77</v>
      </c>
    </row>
    <row r="69" spans="1:8" ht="12.75">
      <c r="A69" s="10" t="s">
        <v>31</v>
      </c>
      <c r="B69" s="10"/>
      <c r="C69" s="10" t="s">
        <v>82</v>
      </c>
      <c r="D69" s="10" t="s">
        <v>148</v>
      </c>
      <c r="E69" s="36"/>
      <c r="F69" s="10" t="s">
        <v>193</v>
      </c>
      <c r="G69" s="44">
        <v>259.08</v>
      </c>
      <c r="H69" s="44">
        <v>0</v>
      </c>
    </row>
    <row r="70" spans="4:7" ht="12" customHeight="1">
      <c r="D70" s="88" t="s">
        <v>270</v>
      </c>
      <c r="E70" s="91"/>
      <c r="F70" s="91"/>
      <c r="G70" s="95">
        <v>259.08</v>
      </c>
    </row>
    <row r="71" spans="1:8" ht="12.75">
      <c r="A71" s="10" t="s">
        <v>32</v>
      </c>
      <c r="B71" s="10"/>
      <c r="C71" s="10" t="s">
        <v>84</v>
      </c>
      <c r="D71" s="10" t="s">
        <v>150</v>
      </c>
      <c r="E71" s="36"/>
      <c r="F71" s="10" t="s">
        <v>193</v>
      </c>
      <c r="G71" s="44">
        <v>77.29</v>
      </c>
      <c r="H71" s="44">
        <v>0</v>
      </c>
    </row>
    <row r="72" spans="4:7" ht="12" customHeight="1">
      <c r="D72" s="88" t="s">
        <v>271</v>
      </c>
      <c r="E72" s="91"/>
      <c r="F72" s="91"/>
      <c r="G72" s="95">
        <v>69.7</v>
      </c>
    </row>
    <row r="73" spans="1:8" ht="12" customHeight="1">
      <c r="A73" s="10"/>
      <c r="B73" s="10"/>
      <c r="C73" s="10"/>
      <c r="D73" s="88" t="s">
        <v>272</v>
      </c>
      <c r="E73" s="91"/>
      <c r="F73" s="88"/>
      <c r="G73" s="95">
        <v>3.39</v>
      </c>
      <c r="H73" s="64"/>
    </row>
    <row r="74" spans="1:8" ht="12" customHeight="1">
      <c r="A74" s="10"/>
      <c r="B74" s="10"/>
      <c r="C74" s="10"/>
      <c r="D74" s="88" t="s">
        <v>273</v>
      </c>
      <c r="E74" s="91"/>
      <c r="F74" s="88"/>
      <c r="G74" s="95">
        <v>4.2</v>
      </c>
      <c r="H74" s="64"/>
    </row>
    <row r="75" spans="3:7" ht="51" customHeight="1">
      <c r="C75" s="87" t="s">
        <v>70</v>
      </c>
      <c r="D75" s="30" t="s">
        <v>151</v>
      </c>
      <c r="E75" s="38"/>
      <c r="F75" s="38"/>
      <c r="G75" s="38"/>
    </row>
    <row r="76" spans="1:8" ht="12.75">
      <c r="A76" s="10" t="s">
        <v>33</v>
      </c>
      <c r="B76" s="10"/>
      <c r="C76" s="10" t="s">
        <v>85</v>
      </c>
      <c r="D76" s="10" t="s">
        <v>152</v>
      </c>
      <c r="E76" s="36"/>
      <c r="F76" s="10" t="s">
        <v>193</v>
      </c>
      <c r="G76" s="44">
        <v>77.29</v>
      </c>
      <c r="H76" s="44">
        <v>0</v>
      </c>
    </row>
    <row r="77" spans="4:7" ht="12" customHeight="1">
      <c r="D77" s="88" t="s">
        <v>274</v>
      </c>
      <c r="E77" s="91"/>
      <c r="F77" s="91"/>
      <c r="G77" s="95">
        <v>77.29</v>
      </c>
    </row>
    <row r="78" spans="3:7" ht="12.75" customHeight="1">
      <c r="C78" s="87" t="s">
        <v>70</v>
      </c>
      <c r="D78" s="30" t="s">
        <v>153</v>
      </c>
      <c r="E78" s="38"/>
      <c r="F78" s="38"/>
      <c r="G78" s="38"/>
    </row>
    <row r="79" spans="1:8" ht="12.75">
      <c r="A79" s="10" t="s">
        <v>34</v>
      </c>
      <c r="B79" s="10"/>
      <c r="C79" s="10" t="s">
        <v>86</v>
      </c>
      <c r="D79" s="10" t="s">
        <v>154</v>
      </c>
      <c r="E79" s="36"/>
      <c r="F79" s="10" t="s">
        <v>194</v>
      </c>
      <c r="G79" s="44">
        <v>77.29</v>
      </c>
      <c r="H79" s="44">
        <v>0</v>
      </c>
    </row>
    <row r="80" spans="4:7" ht="12" customHeight="1">
      <c r="D80" s="88" t="s">
        <v>275</v>
      </c>
      <c r="E80" s="91"/>
      <c r="F80" s="91"/>
      <c r="G80" s="95">
        <v>77.29</v>
      </c>
    </row>
    <row r="81" spans="1:8" ht="12.75">
      <c r="A81" s="10" t="s">
        <v>35</v>
      </c>
      <c r="B81" s="10"/>
      <c r="C81" s="10" t="s">
        <v>88</v>
      </c>
      <c r="D81" s="10" t="s">
        <v>156</v>
      </c>
      <c r="E81" s="36"/>
      <c r="F81" s="10" t="s">
        <v>194</v>
      </c>
      <c r="G81" s="44">
        <v>50</v>
      </c>
      <c r="H81" s="44">
        <v>0</v>
      </c>
    </row>
    <row r="82" spans="4:7" ht="12" customHeight="1">
      <c r="D82" s="88" t="s">
        <v>276</v>
      </c>
      <c r="E82" s="91"/>
      <c r="F82" s="91"/>
      <c r="G82" s="95">
        <v>50</v>
      </c>
    </row>
    <row r="83" spans="3:7" ht="76.5" customHeight="1">
      <c r="C83" s="87" t="s">
        <v>70</v>
      </c>
      <c r="D83" s="30" t="s">
        <v>157</v>
      </c>
      <c r="E83" s="38"/>
      <c r="F83" s="38"/>
      <c r="G83" s="38"/>
    </row>
    <row r="84" spans="1:8" ht="12.75">
      <c r="A84" s="10" t="s">
        <v>36</v>
      </c>
      <c r="B84" s="10"/>
      <c r="C84" s="10" t="s">
        <v>90</v>
      </c>
      <c r="D84" s="10" t="s">
        <v>159</v>
      </c>
      <c r="E84" s="36"/>
      <c r="F84" s="10" t="s">
        <v>194</v>
      </c>
      <c r="G84" s="44">
        <v>38</v>
      </c>
      <c r="H84" s="44">
        <v>0</v>
      </c>
    </row>
    <row r="85" spans="4:7" ht="12" customHeight="1">
      <c r="D85" s="88" t="s">
        <v>277</v>
      </c>
      <c r="E85" s="91"/>
      <c r="F85" s="91"/>
      <c r="G85" s="95">
        <v>38</v>
      </c>
    </row>
    <row r="86" spans="1:8" ht="12.75">
      <c r="A86" s="10" t="s">
        <v>37</v>
      </c>
      <c r="B86" s="10"/>
      <c r="C86" s="10" t="s">
        <v>91</v>
      </c>
      <c r="D86" s="10" t="s">
        <v>160</v>
      </c>
      <c r="E86" s="36"/>
      <c r="F86" s="10" t="s">
        <v>196</v>
      </c>
      <c r="G86" s="44">
        <v>2</v>
      </c>
      <c r="H86" s="44">
        <v>0</v>
      </c>
    </row>
    <row r="87" spans="4:7" ht="12" customHeight="1">
      <c r="D87" s="88" t="s">
        <v>278</v>
      </c>
      <c r="E87" s="91"/>
      <c r="F87" s="91"/>
      <c r="G87" s="95">
        <v>2</v>
      </c>
    </row>
    <row r="88" spans="3:7" ht="25.5" customHeight="1">
      <c r="C88" s="87" t="s">
        <v>70</v>
      </c>
      <c r="D88" s="30" t="s">
        <v>161</v>
      </c>
      <c r="E88" s="38"/>
      <c r="F88" s="38"/>
      <c r="G88" s="38"/>
    </row>
    <row r="89" spans="1:8" ht="12.75">
      <c r="A89" s="10" t="s">
        <v>38</v>
      </c>
      <c r="B89" s="10"/>
      <c r="C89" s="10" t="s">
        <v>92</v>
      </c>
      <c r="D89" s="10" t="s">
        <v>162</v>
      </c>
      <c r="E89" s="36"/>
      <c r="F89" s="10" t="s">
        <v>194</v>
      </c>
      <c r="G89" s="44">
        <v>78.8</v>
      </c>
      <c r="H89" s="44">
        <v>0</v>
      </c>
    </row>
    <row r="90" spans="4:7" ht="12" customHeight="1">
      <c r="D90" s="88" t="s">
        <v>279</v>
      </c>
      <c r="E90" s="91"/>
      <c r="F90" s="91"/>
      <c r="G90" s="95">
        <v>78.8</v>
      </c>
    </row>
    <row r="91" spans="1:8" ht="12.75">
      <c r="A91" s="10" t="s">
        <v>39</v>
      </c>
      <c r="B91" s="10"/>
      <c r="C91" s="10" t="s">
        <v>93</v>
      </c>
      <c r="D91" s="10" t="s">
        <v>163</v>
      </c>
      <c r="E91" s="36"/>
      <c r="F91" s="10" t="s">
        <v>194</v>
      </c>
      <c r="G91" s="44">
        <v>37</v>
      </c>
      <c r="H91" s="44">
        <v>0</v>
      </c>
    </row>
    <row r="92" spans="4:7" ht="12" customHeight="1">
      <c r="D92" s="88" t="s">
        <v>280</v>
      </c>
      <c r="E92" s="91"/>
      <c r="F92" s="91"/>
      <c r="G92" s="95">
        <v>37</v>
      </c>
    </row>
    <row r="93" spans="1:8" ht="12.75">
      <c r="A93" s="10" t="s">
        <v>40</v>
      </c>
      <c r="B93" s="10"/>
      <c r="C93" s="10" t="s">
        <v>94</v>
      </c>
      <c r="D93" s="10" t="s">
        <v>164</v>
      </c>
      <c r="E93" s="36"/>
      <c r="F93" s="10" t="s">
        <v>194</v>
      </c>
      <c r="G93" s="44">
        <v>66.9</v>
      </c>
      <c r="H93" s="44">
        <v>0</v>
      </c>
    </row>
    <row r="94" spans="4:7" ht="12" customHeight="1">
      <c r="D94" s="88" t="s">
        <v>281</v>
      </c>
      <c r="E94" s="91"/>
      <c r="F94" s="91"/>
      <c r="G94" s="95">
        <v>66.9</v>
      </c>
    </row>
    <row r="95" spans="1:8" ht="12.75">
      <c r="A95" s="10" t="s">
        <v>41</v>
      </c>
      <c r="B95" s="10"/>
      <c r="C95" s="10" t="s">
        <v>95</v>
      </c>
      <c r="D95" s="10" t="s">
        <v>165</v>
      </c>
      <c r="E95" s="36"/>
      <c r="F95" s="10" t="s">
        <v>194</v>
      </c>
      <c r="G95" s="44">
        <v>14</v>
      </c>
      <c r="H95" s="44">
        <v>0</v>
      </c>
    </row>
    <row r="96" spans="4:7" ht="12" customHeight="1">
      <c r="D96" s="88" t="s">
        <v>282</v>
      </c>
      <c r="E96" s="91"/>
      <c r="F96" s="91"/>
      <c r="G96" s="95">
        <v>14</v>
      </c>
    </row>
    <row r="97" spans="3:7" ht="12.75" customHeight="1">
      <c r="C97" s="87" t="s">
        <v>70</v>
      </c>
      <c r="D97" s="30" t="s">
        <v>166</v>
      </c>
      <c r="E97" s="38"/>
      <c r="F97" s="38"/>
      <c r="G97" s="38"/>
    </row>
    <row r="98" spans="1:8" ht="12.75">
      <c r="A98" s="10" t="s">
        <v>42</v>
      </c>
      <c r="B98" s="10"/>
      <c r="C98" s="10" t="s">
        <v>96</v>
      </c>
      <c r="D98" s="10" t="s">
        <v>165</v>
      </c>
      <c r="E98" s="36"/>
      <c r="F98" s="10" t="s">
        <v>194</v>
      </c>
      <c r="G98" s="44">
        <v>2</v>
      </c>
      <c r="H98" s="44">
        <v>0</v>
      </c>
    </row>
    <row r="99" spans="4:7" ht="12" customHeight="1">
      <c r="D99" s="88" t="s">
        <v>278</v>
      </c>
      <c r="E99" s="91"/>
      <c r="F99" s="91"/>
      <c r="G99" s="95">
        <v>2</v>
      </c>
    </row>
    <row r="100" spans="3:7" ht="12.75" customHeight="1">
      <c r="C100" s="87" t="s">
        <v>70</v>
      </c>
      <c r="D100" s="30" t="s">
        <v>167</v>
      </c>
      <c r="E100" s="38"/>
      <c r="F100" s="38"/>
      <c r="G100" s="38"/>
    </row>
    <row r="101" spans="1:8" ht="12.75">
      <c r="A101" s="10" t="s">
        <v>43</v>
      </c>
      <c r="B101" s="10"/>
      <c r="C101" s="10" t="s">
        <v>97</v>
      </c>
      <c r="D101" s="10" t="s">
        <v>168</v>
      </c>
      <c r="E101" s="36"/>
      <c r="F101" s="10" t="s">
        <v>194</v>
      </c>
      <c r="G101" s="44">
        <v>48.5</v>
      </c>
      <c r="H101" s="44">
        <v>0</v>
      </c>
    </row>
    <row r="102" spans="4:7" ht="12" customHeight="1">
      <c r="D102" s="88" t="s">
        <v>283</v>
      </c>
      <c r="E102" s="91"/>
      <c r="F102" s="91"/>
      <c r="G102" s="95">
        <v>48.5</v>
      </c>
    </row>
    <row r="103" spans="1:8" ht="12.75">
      <c r="A103" s="10" t="s">
        <v>44</v>
      </c>
      <c r="B103" s="10"/>
      <c r="C103" s="10" t="s">
        <v>98</v>
      </c>
      <c r="D103" s="10" t="s">
        <v>169</v>
      </c>
      <c r="E103" s="36"/>
      <c r="F103" s="10" t="s">
        <v>194</v>
      </c>
      <c r="G103" s="44">
        <v>51.59</v>
      </c>
      <c r="H103" s="44">
        <v>0</v>
      </c>
    </row>
    <row r="104" spans="4:7" ht="12" customHeight="1">
      <c r="D104" s="88" t="s">
        <v>284</v>
      </c>
      <c r="E104" s="91"/>
      <c r="F104" s="91"/>
      <c r="G104" s="95">
        <v>51.59</v>
      </c>
    </row>
    <row r="105" spans="3:7" ht="12.75" customHeight="1">
      <c r="C105" s="87" t="s">
        <v>70</v>
      </c>
      <c r="D105" s="30" t="s">
        <v>170</v>
      </c>
      <c r="E105" s="38"/>
      <c r="F105" s="38"/>
      <c r="G105" s="38"/>
    </row>
    <row r="106" spans="1:8" ht="12.75">
      <c r="A106" s="10" t="s">
        <v>45</v>
      </c>
      <c r="B106" s="10"/>
      <c r="C106" s="10" t="s">
        <v>100</v>
      </c>
      <c r="D106" s="10" t="s">
        <v>172</v>
      </c>
      <c r="E106" s="36"/>
      <c r="F106" s="10" t="s">
        <v>197</v>
      </c>
      <c r="G106" s="44">
        <v>1</v>
      </c>
      <c r="H106" s="44">
        <v>0</v>
      </c>
    </row>
    <row r="107" spans="1:8" ht="12.75">
      <c r="A107" s="12" t="s">
        <v>46</v>
      </c>
      <c r="B107" s="12"/>
      <c r="C107" s="12" t="s">
        <v>101</v>
      </c>
      <c r="D107" s="12" t="s">
        <v>174</v>
      </c>
      <c r="E107" s="39"/>
      <c r="F107" s="12" t="s">
        <v>196</v>
      </c>
      <c r="G107" s="45">
        <v>2</v>
      </c>
      <c r="H107" s="45">
        <v>0</v>
      </c>
    </row>
    <row r="108" spans="4:7" ht="12" customHeight="1">
      <c r="D108" s="89" t="s">
        <v>278</v>
      </c>
      <c r="E108" s="92"/>
      <c r="F108" s="92"/>
      <c r="G108" s="96">
        <v>2</v>
      </c>
    </row>
    <row r="109" spans="3:7" ht="12.75" customHeight="1">
      <c r="C109" s="87" t="s">
        <v>70</v>
      </c>
      <c r="D109" s="30" t="s">
        <v>175</v>
      </c>
      <c r="E109" s="38"/>
      <c r="F109" s="38"/>
      <c r="G109" s="38"/>
    </row>
    <row r="110" spans="1:8" ht="12.75">
      <c r="A110" s="12" t="s">
        <v>47</v>
      </c>
      <c r="B110" s="12"/>
      <c r="C110" s="12" t="s">
        <v>102</v>
      </c>
      <c r="D110" s="12" t="s">
        <v>176</v>
      </c>
      <c r="E110" s="39"/>
      <c r="F110" s="12" t="s">
        <v>196</v>
      </c>
      <c r="G110" s="45">
        <v>2</v>
      </c>
      <c r="H110" s="45">
        <v>0</v>
      </c>
    </row>
    <row r="111" spans="4:7" ht="12" customHeight="1">
      <c r="D111" s="89" t="s">
        <v>278</v>
      </c>
      <c r="E111" s="92"/>
      <c r="F111" s="92"/>
      <c r="G111" s="96">
        <v>2</v>
      </c>
    </row>
    <row r="112" spans="1:8" ht="12.75">
      <c r="A112" s="12" t="s">
        <v>48</v>
      </c>
      <c r="B112" s="12"/>
      <c r="C112" s="12" t="s">
        <v>103</v>
      </c>
      <c r="D112" s="12" t="s">
        <v>177</v>
      </c>
      <c r="E112" s="39"/>
      <c r="F112" s="12" t="s">
        <v>193</v>
      </c>
      <c r="G112" s="45">
        <v>3.4239</v>
      </c>
      <c r="H112" s="45">
        <v>0</v>
      </c>
    </row>
    <row r="113" spans="4:7" ht="12" customHeight="1">
      <c r="D113" s="89" t="s">
        <v>285</v>
      </c>
      <c r="E113" s="92"/>
      <c r="F113" s="92"/>
      <c r="G113" s="96">
        <v>3.39</v>
      </c>
    </row>
    <row r="114" spans="1:8" ht="12" customHeight="1">
      <c r="A114" s="12"/>
      <c r="B114" s="12"/>
      <c r="C114" s="12"/>
      <c r="D114" s="89" t="s">
        <v>286</v>
      </c>
      <c r="E114" s="92"/>
      <c r="F114" s="89"/>
      <c r="G114" s="96">
        <v>0.0339</v>
      </c>
      <c r="H114" s="66"/>
    </row>
    <row r="115" spans="3:7" ht="12.75" customHeight="1">
      <c r="C115" s="87" t="s">
        <v>70</v>
      </c>
      <c r="D115" s="30" t="s">
        <v>178</v>
      </c>
      <c r="E115" s="38"/>
      <c r="F115" s="38"/>
      <c r="G115" s="38"/>
    </row>
    <row r="116" spans="1:8" ht="12.75">
      <c r="A116" s="12" t="s">
        <v>49</v>
      </c>
      <c r="B116" s="12"/>
      <c r="C116" s="12" t="s">
        <v>104</v>
      </c>
      <c r="D116" s="12" t="s">
        <v>179</v>
      </c>
      <c r="E116" s="39"/>
      <c r="F116" s="12" t="s">
        <v>193</v>
      </c>
      <c r="G116" s="45">
        <v>69.7</v>
      </c>
      <c r="H116" s="45">
        <v>0</v>
      </c>
    </row>
    <row r="117" spans="4:7" ht="12" customHeight="1">
      <c r="D117" s="89" t="s">
        <v>287</v>
      </c>
      <c r="E117" s="92"/>
      <c r="F117" s="92"/>
      <c r="G117" s="96">
        <v>69.7</v>
      </c>
    </row>
    <row r="118" spans="1:8" ht="12.75">
      <c r="A118" s="12" t="s">
        <v>50</v>
      </c>
      <c r="B118" s="12"/>
      <c r="C118" s="12" t="s">
        <v>105</v>
      </c>
      <c r="D118" s="12" t="s">
        <v>180</v>
      </c>
      <c r="E118" s="39"/>
      <c r="F118" s="12" t="s">
        <v>193</v>
      </c>
      <c r="G118" s="45">
        <v>4.242</v>
      </c>
      <c r="H118" s="45">
        <v>0</v>
      </c>
    </row>
    <row r="119" spans="4:7" ht="12" customHeight="1">
      <c r="D119" s="89" t="s">
        <v>288</v>
      </c>
      <c r="E119" s="92"/>
      <c r="F119" s="92"/>
      <c r="G119" s="96">
        <v>4.2</v>
      </c>
    </row>
    <row r="120" spans="1:8" ht="12" customHeight="1">
      <c r="A120" s="12"/>
      <c r="B120" s="12"/>
      <c r="C120" s="12"/>
      <c r="D120" s="89" t="s">
        <v>289</v>
      </c>
      <c r="E120" s="92"/>
      <c r="F120" s="89"/>
      <c r="G120" s="96">
        <v>0.042</v>
      </c>
      <c r="H120" s="66"/>
    </row>
    <row r="121" spans="1:8" ht="12.75">
      <c r="A121" s="12" t="s">
        <v>51</v>
      </c>
      <c r="B121" s="12"/>
      <c r="C121" s="12" t="s">
        <v>106</v>
      </c>
      <c r="D121" s="12" t="s">
        <v>181</v>
      </c>
      <c r="E121" s="39"/>
      <c r="F121" s="12" t="s">
        <v>193</v>
      </c>
      <c r="G121" s="45">
        <v>74.4855</v>
      </c>
      <c r="H121" s="45">
        <v>0</v>
      </c>
    </row>
    <row r="122" spans="4:7" ht="12" customHeight="1">
      <c r="D122" s="89" t="s">
        <v>269</v>
      </c>
      <c r="E122" s="92"/>
      <c r="F122" s="92"/>
      <c r="G122" s="96">
        <v>64.77</v>
      </c>
    </row>
    <row r="123" spans="1:8" ht="12" customHeight="1">
      <c r="A123" s="12"/>
      <c r="B123" s="12"/>
      <c r="C123" s="12"/>
      <c r="D123" s="89" t="s">
        <v>290</v>
      </c>
      <c r="E123" s="92"/>
      <c r="F123" s="89"/>
      <c r="G123" s="96">
        <v>9.7155</v>
      </c>
      <c r="H123" s="66"/>
    </row>
    <row r="124" spans="3:7" ht="51" customHeight="1">
      <c r="C124" s="87" t="s">
        <v>70</v>
      </c>
      <c r="D124" s="30" t="s">
        <v>182</v>
      </c>
      <c r="E124" s="38"/>
      <c r="F124" s="38"/>
      <c r="G124" s="38"/>
    </row>
    <row r="125" spans="1:8" ht="12.75">
      <c r="A125" s="12" t="s">
        <v>52</v>
      </c>
      <c r="B125" s="12"/>
      <c r="C125" s="12" t="s">
        <v>107</v>
      </c>
      <c r="D125" s="12" t="s">
        <v>183</v>
      </c>
      <c r="E125" s="39"/>
      <c r="F125" s="12" t="s">
        <v>198</v>
      </c>
      <c r="G125" s="45">
        <v>19</v>
      </c>
      <c r="H125" s="45">
        <v>0</v>
      </c>
    </row>
    <row r="126" spans="4:7" ht="12" customHeight="1">
      <c r="D126" s="89" t="s">
        <v>291</v>
      </c>
      <c r="E126" s="92"/>
      <c r="F126" s="92"/>
      <c r="G126" s="96">
        <v>19</v>
      </c>
    </row>
    <row r="128" ht="11.25" customHeight="1">
      <c r="A128" s="15" t="s">
        <v>53</v>
      </c>
    </row>
    <row r="129" spans="1:7" ht="12.75">
      <c r="A129" s="16"/>
      <c r="B129" s="19"/>
      <c r="C129" s="19"/>
      <c r="D129" s="19"/>
      <c r="E129" s="19"/>
      <c r="F129" s="19"/>
      <c r="G129" s="19"/>
    </row>
  </sheetData>
  <mergeCells count="135">
    <mergeCell ref="A1:H1"/>
    <mergeCell ref="A2:B3"/>
    <mergeCell ref="C2:D3"/>
    <mergeCell ref="E2:E3"/>
    <mergeCell ref="F2:H3"/>
    <mergeCell ref="A4:B5"/>
    <mergeCell ref="C4:D5"/>
    <mergeCell ref="E4:E5"/>
    <mergeCell ref="F4:H5"/>
    <mergeCell ref="A6:B7"/>
    <mergeCell ref="C6:D7"/>
    <mergeCell ref="E6:E7"/>
    <mergeCell ref="F6:H7"/>
    <mergeCell ref="A8:B9"/>
    <mergeCell ref="C8:D9"/>
    <mergeCell ref="E8:E9"/>
    <mergeCell ref="F8:H9"/>
    <mergeCell ref="D10:E10"/>
    <mergeCell ref="D11:E11"/>
    <mergeCell ref="D12:F12"/>
    <mergeCell ref="D13:E13"/>
    <mergeCell ref="D14:F14"/>
    <mergeCell ref="D15:E15"/>
    <mergeCell ref="D16:F16"/>
    <mergeCell ref="D17:E17"/>
    <mergeCell ref="D18:F18"/>
    <mergeCell ref="D19:E19"/>
    <mergeCell ref="D20:F20"/>
    <mergeCell ref="D21:E21"/>
    <mergeCell ref="D22:F22"/>
    <mergeCell ref="D23:E23"/>
    <mergeCell ref="D24:F24"/>
    <mergeCell ref="D25:E25"/>
    <mergeCell ref="D26:F26"/>
    <mergeCell ref="D27:E27"/>
    <mergeCell ref="D28:F28"/>
    <mergeCell ref="D29:E29"/>
    <mergeCell ref="D30:F30"/>
    <mergeCell ref="D31:E31"/>
    <mergeCell ref="D32:F32"/>
    <mergeCell ref="D33:E33"/>
    <mergeCell ref="D34:F34"/>
    <mergeCell ref="D35:E35"/>
    <mergeCell ref="D36:F36"/>
    <mergeCell ref="D37:E37"/>
    <mergeCell ref="D38:F38"/>
    <mergeCell ref="D39:G39"/>
    <mergeCell ref="D40:E40"/>
    <mergeCell ref="D41:F41"/>
    <mergeCell ref="D42:G42"/>
    <mergeCell ref="D43:E43"/>
    <mergeCell ref="D44:F44"/>
    <mergeCell ref="D45:G45"/>
    <mergeCell ref="D46:E46"/>
    <mergeCell ref="D47:F47"/>
    <mergeCell ref="D48:E48"/>
    <mergeCell ref="D49:F49"/>
    <mergeCell ref="D50:G50"/>
    <mergeCell ref="D51:E51"/>
    <mergeCell ref="D52:F52"/>
    <mergeCell ref="D53:E53"/>
    <mergeCell ref="D54:F54"/>
    <mergeCell ref="D55:E55"/>
    <mergeCell ref="D56:F56"/>
    <mergeCell ref="D57:F57"/>
    <mergeCell ref="D58:F58"/>
    <mergeCell ref="D59:F59"/>
    <mergeCell ref="D60:F60"/>
    <mergeCell ref="D61:G61"/>
    <mergeCell ref="D62:E62"/>
    <mergeCell ref="D63:F63"/>
    <mergeCell ref="D64:G64"/>
    <mergeCell ref="D65:E65"/>
    <mergeCell ref="D66:F66"/>
    <mergeCell ref="D67:E67"/>
    <mergeCell ref="D68:F68"/>
    <mergeCell ref="D69:E69"/>
    <mergeCell ref="D70:F70"/>
    <mergeCell ref="D71:E71"/>
    <mergeCell ref="D72:F72"/>
    <mergeCell ref="D73:F73"/>
    <mergeCell ref="D74:F74"/>
    <mergeCell ref="D75:G75"/>
    <mergeCell ref="D76:E76"/>
    <mergeCell ref="D77:F77"/>
    <mergeCell ref="D78:G78"/>
    <mergeCell ref="D79:E79"/>
    <mergeCell ref="D80:F80"/>
    <mergeCell ref="D81:E81"/>
    <mergeCell ref="D82:F82"/>
    <mergeCell ref="D83:G83"/>
    <mergeCell ref="D84:E84"/>
    <mergeCell ref="D85:F85"/>
    <mergeCell ref="D86:E86"/>
    <mergeCell ref="D87:F87"/>
    <mergeCell ref="D88:G88"/>
    <mergeCell ref="D89:E89"/>
    <mergeCell ref="D90:F90"/>
    <mergeCell ref="D91:E91"/>
    <mergeCell ref="D92:F92"/>
    <mergeCell ref="D93:E93"/>
    <mergeCell ref="D94:F94"/>
    <mergeCell ref="D95:E95"/>
    <mergeCell ref="D96:F96"/>
    <mergeCell ref="D97:G97"/>
    <mergeCell ref="D98:E98"/>
    <mergeCell ref="D99:F99"/>
    <mergeCell ref="D100:G100"/>
    <mergeCell ref="D101:E101"/>
    <mergeCell ref="D102:F102"/>
    <mergeCell ref="D103:E103"/>
    <mergeCell ref="D104:F104"/>
    <mergeCell ref="D105:G105"/>
    <mergeCell ref="D106:E106"/>
    <mergeCell ref="D107:E107"/>
    <mergeCell ref="D108:F108"/>
    <mergeCell ref="D109:G109"/>
    <mergeCell ref="D110:E110"/>
    <mergeCell ref="D111:F111"/>
    <mergeCell ref="D112:E112"/>
    <mergeCell ref="D113:F113"/>
    <mergeCell ref="D114:F114"/>
    <mergeCell ref="D115:G115"/>
    <mergeCell ref="D116:E116"/>
    <mergeCell ref="D117:F117"/>
    <mergeCell ref="D118:E118"/>
    <mergeCell ref="D119:F119"/>
    <mergeCell ref="D120:F120"/>
    <mergeCell ref="D121:E121"/>
    <mergeCell ref="D122:F122"/>
    <mergeCell ref="D123:F123"/>
    <mergeCell ref="D124:G124"/>
    <mergeCell ref="D125:E125"/>
    <mergeCell ref="D126:F126"/>
    <mergeCell ref="A129:G129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A1" sqref="A1"/>
    </sheetView>
  </sheetViews>
  <sheetFormatPr defaultColWidth="11.57421875" defaultRowHeight="12.75"/>
  <cols>
    <col min="1" max="1" width="9.140625" customWidth="1"/>
    <col min="2" max="2" width="12.8515625" customWidth="1"/>
    <col min="3" max="3" width="22.8515625" customWidth="1"/>
    <col min="4" max="4" width="10.00390625" customWidth="1"/>
    <col min="5" max="5" width="14.00390625" customWidth="1"/>
    <col min="6" max="6" width="22.8515625" customWidth="1"/>
    <col min="7" max="7" width="9.140625" customWidth="1"/>
    <col min="8" max="8" width="12.8515625" customWidth="1"/>
    <col min="9" max="9" width="22.8515625" customWidth="1"/>
  </cols>
  <sheetData>
    <row r="1" spans="1:9" ht="72.75" customHeight="1">
      <c r="A1" s="140"/>
      <c r="B1" s="97"/>
      <c r="C1" s="120" t="s">
        <v>307</v>
      </c>
      <c r="D1" s="17"/>
      <c r="E1" s="17"/>
      <c r="F1" s="17"/>
      <c r="G1" s="17"/>
      <c r="H1" s="17"/>
      <c r="I1" s="17"/>
    </row>
    <row r="2" spans="1:10" ht="12.75">
      <c r="A2" s="3" t="s">
        <v>1</v>
      </c>
      <c r="B2" s="18"/>
      <c r="C2" s="26" t="str">
        <f>'Stavební rozpočet'!C2</f>
        <v>Nová Autobusová Zástávka - TURNOV - LIDL</v>
      </c>
      <c r="D2" s="55"/>
      <c r="E2" s="47" t="s">
        <v>200</v>
      </c>
      <c r="F2" s="47" t="str">
        <f>'Stavební rozpočet'!I2</f>
        <v> </v>
      </c>
      <c r="G2" s="18"/>
      <c r="H2" s="47" t="s">
        <v>332</v>
      </c>
      <c r="I2" s="134"/>
      <c r="J2" s="68"/>
    </row>
    <row r="3" spans="1:10" ht="12.75">
      <c r="A3" s="4"/>
      <c r="B3" s="19"/>
      <c r="C3" s="27"/>
      <c r="D3" s="27"/>
      <c r="E3" s="19"/>
      <c r="F3" s="19"/>
      <c r="G3" s="19"/>
      <c r="H3" s="19"/>
      <c r="I3" s="59"/>
      <c r="J3" s="68"/>
    </row>
    <row r="4" spans="1:10" ht="12.75">
      <c r="A4" s="5" t="s">
        <v>2</v>
      </c>
      <c r="B4" s="19"/>
      <c r="C4" s="16" t="str">
        <f>'Stavební rozpočet'!C4</f>
        <v> </v>
      </c>
      <c r="D4" s="19"/>
      <c r="E4" s="16" t="s">
        <v>201</v>
      </c>
      <c r="F4" s="16" t="str">
        <f>'Stavební rozpočet'!I4</f>
        <v> </v>
      </c>
      <c r="G4" s="19"/>
      <c r="H4" s="16" t="s">
        <v>332</v>
      </c>
      <c r="I4" s="135"/>
      <c r="J4" s="68"/>
    </row>
    <row r="5" spans="1:10" ht="12.75">
      <c r="A5" s="4"/>
      <c r="B5" s="19"/>
      <c r="C5" s="19"/>
      <c r="D5" s="19"/>
      <c r="E5" s="19"/>
      <c r="F5" s="19"/>
      <c r="G5" s="19"/>
      <c r="H5" s="19"/>
      <c r="I5" s="59"/>
      <c r="J5" s="68"/>
    </row>
    <row r="6" spans="1:10" ht="12.75">
      <c r="A6" s="5" t="s">
        <v>3</v>
      </c>
      <c r="B6" s="19"/>
      <c r="C6" s="16" t="str">
        <f>'Stavební rozpočet'!C6</f>
        <v>Turnov - průjezdní úsek silnice I/35</v>
      </c>
      <c r="D6" s="19"/>
      <c r="E6" s="16" t="s">
        <v>202</v>
      </c>
      <c r="F6" s="16" t="str">
        <f>'Stavební rozpočet'!I6</f>
        <v> </v>
      </c>
      <c r="G6" s="19"/>
      <c r="H6" s="16" t="s">
        <v>332</v>
      </c>
      <c r="I6" s="135"/>
      <c r="J6" s="68"/>
    </row>
    <row r="7" spans="1:10" ht="12.75">
      <c r="A7" s="4"/>
      <c r="B7" s="19"/>
      <c r="C7" s="19"/>
      <c r="D7" s="19"/>
      <c r="E7" s="19"/>
      <c r="F7" s="19"/>
      <c r="G7" s="19"/>
      <c r="H7" s="19"/>
      <c r="I7" s="59"/>
      <c r="J7" s="68"/>
    </row>
    <row r="8" spans="1:10" ht="12.75">
      <c r="A8" s="5" t="s">
        <v>185</v>
      </c>
      <c r="B8" s="19"/>
      <c r="C8" s="16" t="str">
        <f>'Stavební rozpočet'!F4</f>
        <v>15.11.2017</v>
      </c>
      <c r="D8" s="19"/>
      <c r="E8" s="16" t="s">
        <v>186</v>
      </c>
      <c r="F8" s="16" t="str">
        <f>'Stavební rozpočet'!F6</f>
        <v> </v>
      </c>
      <c r="G8" s="19"/>
      <c r="H8" s="32" t="s">
        <v>333</v>
      </c>
      <c r="I8" s="135" t="s">
        <v>52</v>
      </c>
      <c r="J8" s="68"/>
    </row>
    <row r="9" spans="1:10" ht="12.75">
      <c r="A9" s="4"/>
      <c r="B9" s="19"/>
      <c r="C9" s="19"/>
      <c r="D9" s="19"/>
      <c r="E9" s="19"/>
      <c r="F9" s="19"/>
      <c r="G9" s="19"/>
      <c r="H9" s="19"/>
      <c r="I9" s="59"/>
      <c r="J9" s="68"/>
    </row>
    <row r="10" spans="1:10" ht="12.75">
      <c r="A10" s="5" t="s">
        <v>4</v>
      </c>
      <c r="B10" s="19"/>
      <c r="C10" s="16" t="str">
        <f>'Stavební rozpočet'!C8</f>
        <v> </v>
      </c>
      <c r="D10" s="19"/>
      <c r="E10" s="16" t="s">
        <v>203</v>
      </c>
      <c r="F10" s="16" t="str">
        <f>'Stavební rozpočet'!I8</f>
        <v> </v>
      </c>
      <c r="G10" s="19"/>
      <c r="H10" s="32" t="s">
        <v>334</v>
      </c>
      <c r="I10" s="139" t="str">
        <f>'Stavební rozpočet'!F8</f>
        <v>15.11.2017</v>
      </c>
      <c r="J10" s="68"/>
    </row>
    <row r="11" spans="1:10" ht="12.75">
      <c r="A11" s="98"/>
      <c r="B11" s="110"/>
      <c r="C11" s="110"/>
      <c r="D11" s="110"/>
      <c r="E11" s="110"/>
      <c r="F11" s="110"/>
      <c r="G11" s="110"/>
      <c r="H11" s="110"/>
      <c r="I11" s="136"/>
      <c r="J11" s="68"/>
    </row>
    <row r="12" spans="1:9" ht="23.25" customHeight="1">
      <c r="A12" s="99" t="s">
        <v>293</v>
      </c>
      <c r="B12" s="111"/>
      <c r="C12" s="111"/>
      <c r="D12" s="111"/>
      <c r="E12" s="111"/>
      <c r="F12" s="111"/>
      <c r="G12" s="111"/>
      <c r="H12" s="111"/>
      <c r="I12" s="111"/>
    </row>
    <row r="13" spans="1:10" ht="26.25" customHeight="1">
      <c r="A13" s="100" t="s">
        <v>294</v>
      </c>
      <c r="B13" s="112" t="s">
        <v>305</v>
      </c>
      <c r="C13" s="121"/>
      <c r="D13" s="100" t="s">
        <v>308</v>
      </c>
      <c r="E13" s="112" t="s">
        <v>317</v>
      </c>
      <c r="F13" s="121"/>
      <c r="G13" s="100" t="s">
        <v>318</v>
      </c>
      <c r="H13" s="112" t="s">
        <v>335</v>
      </c>
      <c r="I13" s="121"/>
      <c r="J13" s="68"/>
    </row>
    <row r="14" spans="1:10" ht="15" customHeight="1">
      <c r="A14" s="101" t="s">
        <v>295</v>
      </c>
      <c r="B14" s="113" t="s">
        <v>306</v>
      </c>
      <c r="C14" s="129">
        <f>SUM('Stavební rozpočet'!AB12:AB84)</f>
        <v>0</v>
      </c>
      <c r="D14" s="126" t="s">
        <v>309</v>
      </c>
      <c r="E14" s="128"/>
      <c r="F14" s="129">
        <v>0</v>
      </c>
      <c r="G14" s="126" t="s">
        <v>319</v>
      </c>
      <c r="H14" s="128"/>
      <c r="I14" s="129">
        <v>0</v>
      </c>
      <c r="J14" s="68"/>
    </row>
    <row r="15" spans="1:10" ht="15" customHeight="1">
      <c r="A15" s="102"/>
      <c r="B15" s="113" t="s">
        <v>210</v>
      </c>
      <c r="C15" s="129">
        <f>SUM('Stavební rozpočet'!AC12:AC84)</f>
        <v>0</v>
      </c>
      <c r="D15" s="126" t="s">
        <v>310</v>
      </c>
      <c r="E15" s="128"/>
      <c r="F15" s="129">
        <v>0</v>
      </c>
      <c r="G15" s="126" t="s">
        <v>320</v>
      </c>
      <c r="H15" s="128"/>
      <c r="I15" s="129">
        <v>0</v>
      </c>
      <c r="J15" s="68"/>
    </row>
    <row r="16" spans="1:10" ht="15" customHeight="1">
      <c r="A16" s="101" t="s">
        <v>296</v>
      </c>
      <c r="B16" s="113" t="s">
        <v>306</v>
      </c>
      <c r="C16" s="129">
        <f>SUM('Stavební rozpočet'!AD12:AD84)</f>
        <v>0</v>
      </c>
      <c r="D16" s="126" t="s">
        <v>311</v>
      </c>
      <c r="E16" s="128"/>
      <c r="F16" s="129">
        <v>0</v>
      </c>
      <c r="G16" s="126" t="s">
        <v>321</v>
      </c>
      <c r="H16" s="128"/>
      <c r="I16" s="129">
        <v>0</v>
      </c>
      <c r="J16" s="68"/>
    </row>
    <row r="17" spans="1:10" ht="15" customHeight="1">
      <c r="A17" s="102"/>
      <c r="B17" s="113" t="s">
        <v>210</v>
      </c>
      <c r="C17" s="129">
        <f>SUM('Stavební rozpočet'!AE12:AE84)</f>
        <v>0</v>
      </c>
      <c r="D17" s="126"/>
      <c r="E17" s="128"/>
      <c r="F17" s="130"/>
      <c r="G17" s="126" t="s">
        <v>322</v>
      </c>
      <c r="H17" s="128"/>
      <c r="I17" s="129">
        <v>0</v>
      </c>
      <c r="J17" s="68"/>
    </row>
    <row r="18" spans="1:10" ht="15" customHeight="1">
      <c r="A18" s="101" t="s">
        <v>297</v>
      </c>
      <c r="B18" s="113" t="s">
        <v>306</v>
      </c>
      <c r="C18" s="129">
        <f>SUM('Stavební rozpočet'!AF12:AF84)</f>
        <v>0</v>
      </c>
      <c r="D18" s="126"/>
      <c r="E18" s="128"/>
      <c r="F18" s="130"/>
      <c r="G18" s="126" t="s">
        <v>323</v>
      </c>
      <c r="H18" s="128"/>
      <c r="I18" s="129">
        <v>0</v>
      </c>
      <c r="J18" s="68"/>
    </row>
    <row r="19" spans="1:10" ht="15" customHeight="1">
      <c r="A19" s="102"/>
      <c r="B19" s="113" t="s">
        <v>210</v>
      </c>
      <c r="C19" s="129">
        <f>SUM('Stavební rozpočet'!AG12:AG84)</f>
        <v>0</v>
      </c>
      <c r="D19" s="126"/>
      <c r="E19" s="128"/>
      <c r="F19" s="130"/>
      <c r="G19" s="126" t="s">
        <v>324</v>
      </c>
      <c r="H19" s="128"/>
      <c r="I19" s="129">
        <v>0</v>
      </c>
      <c r="J19" s="68"/>
    </row>
    <row r="20" spans="1:10" ht="15" customHeight="1">
      <c r="A20" s="103" t="s">
        <v>173</v>
      </c>
      <c r="B20" s="114"/>
      <c r="C20" s="129">
        <f>SUM('Stavební rozpočet'!AH12:AH84)</f>
        <v>0</v>
      </c>
      <c r="D20" s="126"/>
      <c r="E20" s="128"/>
      <c r="F20" s="130"/>
      <c r="G20" s="126"/>
      <c r="H20" s="128"/>
      <c r="I20" s="130"/>
      <c r="J20" s="68"/>
    </row>
    <row r="21" spans="1:10" ht="15" customHeight="1">
      <c r="A21" s="103" t="s">
        <v>298</v>
      </c>
      <c r="B21" s="114"/>
      <c r="C21" s="129">
        <f>SUM('Stavební rozpočet'!Z12:Z84)</f>
        <v>0</v>
      </c>
      <c r="D21" s="126"/>
      <c r="E21" s="128"/>
      <c r="F21" s="130"/>
      <c r="G21" s="126"/>
      <c r="H21" s="128"/>
      <c r="I21" s="130"/>
      <c r="J21" s="68"/>
    </row>
    <row r="22" spans="1:10" ht="16.5" customHeight="1">
      <c r="A22" s="103" t="s">
        <v>299</v>
      </c>
      <c r="B22" s="114"/>
      <c r="C22" s="129">
        <f>SUM(C14:C21)</f>
        <v>0</v>
      </c>
      <c r="D22" s="103" t="s">
        <v>312</v>
      </c>
      <c r="E22" s="114"/>
      <c r="F22" s="129">
        <f>SUM(F14:F21)</f>
        <v>0</v>
      </c>
      <c r="G22" s="103" t="s">
        <v>325</v>
      </c>
      <c r="H22" s="114"/>
      <c r="I22" s="129">
        <f>SUM(I14:I21)</f>
        <v>0</v>
      </c>
      <c r="J22" s="68"/>
    </row>
    <row r="23" spans="1:10" ht="15" customHeight="1">
      <c r="A23" s="14"/>
      <c r="B23" s="14"/>
      <c r="C23" s="122"/>
      <c r="D23" s="103" t="s">
        <v>313</v>
      </c>
      <c r="E23" s="114"/>
      <c r="F23" s="131">
        <v>0</v>
      </c>
      <c r="G23" s="103" t="s">
        <v>326</v>
      </c>
      <c r="H23" s="114"/>
      <c r="I23" s="129">
        <v>0</v>
      </c>
      <c r="J23" s="68"/>
    </row>
    <row r="24" spans="4:9" ht="15" customHeight="1">
      <c r="D24" s="14"/>
      <c r="E24" s="14"/>
      <c r="F24" s="132"/>
      <c r="G24" s="103" t="s">
        <v>327</v>
      </c>
      <c r="H24" s="114"/>
      <c r="I24" s="137"/>
    </row>
    <row r="25" spans="6:10" ht="15" customHeight="1">
      <c r="F25" s="133"/>
      <c r="G25" s="103" t="s">
        <v>328</v>
      </c>
      <c r="H25" s="114"/>
      <c r="I25" s="129">
        <v>0</v>
      </c>
      <c r="J25" s="68"/>
    </row>
    <row r="26" spans="1:9" ht="12.75">
      <c r="A26" s="97"/>
      <c r="B26" s="97"/>
      <c r="C26" s="97"/>
      <c r="G26" s="14"/>
      <c r="H26" s="14"/>
      <c r="I26" s="14"/>
    </row>
    <row r="27" spans="1:9" ht="15" customHeight="1">
      <c r="A27" s="104" t="s">
        <v>300</v>
      </c>
      <c r="B27" s="115"/>
      <c r="C27" s="138">
        <f>SUM('Stavební rozpočet'!AJ12:AJ84)</f>
        <v>0</v>
      </c>
      <c r="D27" s="127"/>
      <c r="E27" s="97"/>
      <c r="F27" s="97"/>
      <c r="G27" s="97"/>
      <c r="H27" s="97"/>
      <c r="I27" s="97"/>
    </row>
    <row r="28" spans="1:10" ht="15" customHeight="1">
      <c r="A28" s="104" t="s">
        <v>301</v>
      </c>
      <c r="B28" s="115"/>
      <c r="C28" s="138">
        <f>SUM('Stavební rozpočet'!AK12:AK84)</f>
        <v>0</v>
      </c>
      <c r="D28" s="104" t="s">
        <v>314</v>
      </c>
      <c r="E28" s="115"/>
      <c r="F28" s="138">
        <f>ROUND(C28*(15/100),2)</f>
        <v>0</v>
      </c>
      <c r="G28" s="104" t="s">
        <v>329</v>
      </c>
      <c r="H28" s="115"/>
      <c r="I28" s="138">
        <f>SUM(C27:C29)</f>
        <v>0</v>
      </c>
      <c r="J28" s="68"/>
    </row>
    <row r="29" spans="1:10" ht="15" customHeight="1">
      <c r="A29" s="104" t="s">
        <v>302</v>
      </c>
      <c r="B29" s="115"/>
      <c r="C29" s="138">
        <f>SUM('Stavební rozpočet'!AL12:AL84)+(F22+I22+F23+I23+I24+I25)</f>
        <v>0</v>
      </c>
      <c r="D29" s="104" t="s">
        <v>315</v>
      </c>
      <c r="E29" s="115"/>
      <c r="F29" s="138">
        <f>ROUND(C29*(21/100),2)</f>
        <v>0</v>
      </c>
      <c r="G29" s="104" t="s">
        <v>330</v>
      </c>
      <c r="H29" s="115"/>
      <c r="I29" s="138">
        <f>SUM(F28:F29)+I28</f>
        <v>0</v>
      </c>
      <c r="J29" s="68"/>
    </row>
    <row r="30" spans="1:9" ht="12.75">
      <c r="A30" s="105"/>
      <c r="B30" s="105"/>
      <c r="C30" s="105"/>
      <c r="D30" s="105"/>
      <c r="E30" s="105"/>
      <c r="F30" s="105"/>
      <c r="G30" s="105"/>
      <c r="H30" s="105"/>
      <c r="I30" s="105"/>
    </row>
    <row r="31" spans="1:10" ht="14.25" customHeight="1">
      <c r="A31" s="106" t="s">
        <v>303</v>
      </c>
      <c r="B31" s="116"/>
      <c r="C31" s="123"/>
      <c r="D31" s="106" t="s">
        <v>316</v>
      </c>
      <c r="E31" s="116"/>
      <c r="F31" s="123"/>
      <c r="G31" s="106" t="s">
        <v>331</v>
      </c>
      <c r="H31" s="116"/>
      <c r="I31" s="123"/>
      <c r="J31" s="69"/>
    </row>
    <row r="32" spans="1:10" ht="14.25" customHeight="1">
      <c r="A32" s="107"/>
      <c r="B32" s="117"/>
      <c r="C32" s="124"/>
      <c r="D32" s="107"/>
      <c r="E32" s="117"/>
      <c r="F32" s="124"/>
      <c r="G32" s="107"/>
      <c r="H32" s="117"/>
      <c r="I32" s="124"/>
      <c r="J32" s="69"/>
    </row>
    <row r="33" spans="1:10" ht="14.25" customHeight="1">
      <c r="A33" s="107"/>
      <c r="B33" s="117"/>
      <c r="C33" s="124"/>
      <c r="D33" s="107"/>
      <c r="E33" s="117"/>
      <c r="F33" s="124"/>
      <c r="G33" s="107"/>
      <c r="H33" s="117"/>
      <c r="I33" s="124"/>
      <c r="J33" s="69"/>
    </row>
    <row r="34" spans="1:10" ht="14.25" customHeight="1">
      <c r="A34" s="107"/>
      <c r="B34" s="117"/>
      <c r="C34" s="124"/>
      <c r="D34" s="107"/>
      <c r="E34" s="117"/>
      <c r="F34" s="124"/>
      <c r="G34" s="107"/>
      <c r="H34" s="117"/>
      <c r="I34" s="124"/>
      <c r="J34" s="69"/>
    </row>
    <row r="35" spans="1:10" ht="14.25" customHeight="1">
      <c r="A35" s="108" t="s">
        <v>304</v>
      </c>
      <c r="B35" s="118"/>
      <c r="C35" s="125"/>
      <c r="D35" s="108" t="s">
        <v>304</v>
      </c>
      <c r="E35" s="118"/>
      <c r="F35" s="125"/>
      <c r="G35" s="108" t="s">
        <v>304</v>
      </c>
      <c r="H35" s="118"/>
      <c r="I35" s="125"/>
      <c r="J35" s="69"/>
    </row>
    <row r="36" spans="1:9" ht="11.25" customHeight="1">
      <c r="A36" s="109" t="s">
        <v>53</v>
      </c>
      <c r="B36" s="119"/>
      <c r="C36" s="119"/>
      <c r="D36" s="119"/>
      <c r="E36" s="119"/>
      <c r="F36" s="119"/>
      <c r="G36" s="119"/>
      <c r="H36" s="119"/>
      <c r="I36" s="119"/>
    </row>
    <row r="37" spans="1:9" ht="12.75">
      <c r="A37" s="16"/>
      <c r="B37" s="19"/>
      <c r="C37" s="19"/>
      <c r="D37" s="19"/>
      <c r="E37" s="19"/>
      <c r="F37" s="19"/>
      <c r="G37" s="19"/>
      <c r="H37" s="19"/>
      <c r="I37" s="19"/>
    </row>
  </sheetData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  <mergeCell ref="A37:I37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