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r. 2019\Valdštejn\Sanace skalního podloží\Výběrové řízení - zadávací doklady\Zadávací podmínky + výzva\"/>
    </mc:Choice>
  </mc:AlternateContent>
  <bookViews>
    <workbookView xWindow="0" yWindow="0" windowWidth="13395" windowHeight="6090"/>
  </bookViews>
  <sheets>
    <sheet name="Krycí list" sheetId="1" r:id="rId1"/>
    <sheet name="Náklady stavby" sheetId="2" r:id="rId2"/>
  </sheets>
  <definedNames>
    <definedName name="__xlnm.Print_Area_2">'Náklady stavby'!$B$1:$H$5</definedName>
    <definedName name="_xlnm.Print_Titles" localSheetId="1">'Náklady stavby'!$5:$5</definedName>
    <definedName name="_xlnm.Print_Area" localSheetId="0">'Krycí list'!$A$2:$D$28</definedName>
    <definedName name="_xlnm.Print_Area" localSheetId="1">'Náklady stavby'!$B$1:$I$61</definedName>
  </definedNames>
  <calcPr calcId="152511"/>
</workbook>
</file>

<file path=xl/calcChain.xml><?xml version="1.0" encoding="utf-8"?>
<calcChain xmlns="http://schemas.openxmlformats.org/spreadsheetml/2006/main">
  <c r="F49" i="2" l="1"/>
  <c r="F33" i="2" l="1"/>
  <c r="F21" i="2" l="1"/>
  <c r="F17" i="2"/>
  <c r="F18" i="2"/>
  <c r="H18" i="2"/>
  <c r="F16" i="2" l="1"/>
  <c r="A16" i="1"/>
  <c r="A15" i="1"/>
  <c r="F60" i="2"/>
  <c r="F47" i="2"/>
  <c r="F43" i="2"/>
  <c r="F42" i="2" l="1"/>
  <c r="F35" i="2"/>
  <c r="F34" i="2"/>
  <c r="F38" i="2" s="1"/>
  <c r="F40" i="2"/>
  <c r="H33" i="2"/>
  <c r="H49" i="2"/>
  <c r="F50" i="2"/>
  <c r="H50" i="2" s="1"/>
  <c r="F26" i="2"/>
  <c r="F27" i="2"/>
  <c r="F19" i="2"/>
  <c r="F31" i="2"/>
  <c r="F20" i="2"/>
  <c r="F24" i="2" l="1"/>
  <c r="F30" i="2"/>
  <c r="H30" i="2" s="1"/>
  <c r="F44" i="2"/>
  <c r="F46" i="2"/>
  <c r="H46" i="2" s="1"/>
  <c r="F52" i="2"/>
  <c r="F41" i="2"/>
  <c r="F45" i="2" s="1"/>
  <c r="H34" i="2"/>
  <c r="H48" i="2"/>
  <c r="B15" i="1" s="1"/>
  <c r="F28" i="2"/>
  <c r="H28" i="2" s="1"/>
  <c r="F25" i="2"/>
  <c r="F29" i="2" s="1"/>
  <c r="H27" i="2"/>
  <c r="H25" i="2" l="1"/>
  <c r="F22" i="2" l="1"/>
  <c r="H22" i="2" l="1"/>
  <c r="F53" i="2"/>
  <c r="F7" i="2"/>
  <c r="F9" i="2"/>
  <c r="F10" i="2" s="1"/>
  <c r="F8" i="2"/>
  <c r="H8" i="2" l="1"/>
  <c r="H7" i="2"/>
  <c r="H29" i="2" l="1"/>
  <c r="H26" i="2" l="1"/>
  <c r="H31" i="2"/>
  <c r="H24" i="2" l="1"/>
  <c r="H42" i="2" l="1"/>
  <c r="C15" i="1" l="1"/>
  <c r="F61" i="2"/>
  <c r="H61" i="2" s="1"/>
  <c r="D15" i="1" s="1"/>
  <c r="F37" i="2" l="1"/>
  <c r="H37" i="2" s="1"/>
  <c r="H40" i="2"/>
  <c r="H35" i="2"/>
  <c r="H44" i="2" l="1"/>
  <c r="F39" i="2"/>
  <c r="F36" i="2"/>
  <c r="H36" i="2" s="1"/>
  <c r="H45" i="2" l="1"/>
  <c r="H41" i="2"/>
  <c r="H16" i="2" l="1"/>
  <c r="H17" i="2"/>
  <c r="H39" i="2"/>
  <c r="H43" i="2"/>
  <c r="H52" i="2" l="1"/>
  <c r="H47" i="2"/>
  <c r="H38" i="2"/>
  <c r="A13" i="1"/>
  <c r="A14" i="1"/>
  <c r="H32" i="2" l="1"/>
  <c r="F54" i="2" l="1"/>
  <c r="H54" i="2" s="1"/>
  <c r="F55" i="2"/>
  <c r="H55" i="2" s="1"/>
  <c r="H53" i="2"/>
  <c r="H51" i="2" l="1"/>
  <c r="B16" i="1" s="1"/>
  <c r="H23" i="2" l="1"/>
  <c r="B13" i="1" s="1"/>
  <c r="F12" i="2"/>
  <c r="F13" i="2" s="1"/>
  <c r="A12" i="1" l="1"/>
  <c r="H60" i="2" l="1"/>
  <c r="B7" i="1"/>
  <c r="C13" i="1" l="1"/>
  <c r="C12" i="1"/>
  <c r="C11" i="1"/>
  <c r="C14" i="1"/>
  <c r="D14" i="1"/>
  <c r="H19" i="2" l="1"/>
  <c r="H21" i="2"/>
  <c r="F14" i="2"/>
  <c r="H14" i="2" s="1"/>
  <c r="F11" i="2"/>
  <c r="H11" i="2" s="1"/>
  <c r="H9" i="2" l="1"/>
  <c r="H12" i="2"/>
  <c r="H20" i="2"/>
  <c r="H10" i="2"/>
  <c r="H13" i="2"/>
  <c r="H6" i="2" l="1"/>
  <c r="H15" i="2"/>
  <c r="F57" i="2"/>
  <c r="H57" i="2" s="1"/>
  <c r="D11" i="1" l="1"/>
  <c r="F58" i="2" l="1"/>
  <c r="H58" i="2" s="1"/>
  <c r="D12" i="1" l="1"/>
  <c r="F59" i="2"/>
  <c r="B12" i="1" l="1"/>
  <c r="H59" i="2" l="1"/>
  <c r="D13" i="1" l="1"/>
  <c r="D19" i="1" s="1"/>
  <c r="H56" i="2"/>
  <c r="A11" i="1" l="1"/>
  <c r="B4" i="1" l="1"/>
  <c r="D27" i="1"/>
  <c r="B11" i="1" l="1"/>
  <c r="B3" i="1" l="1"/>
  <c r="B14" i="1" l="1"/>
  <c r="B19" i="1" l="1"/>
  <c r="B21" i="1" s="1"/>
  <c r="B22" i="1" s="1"/>
  <c r="B24" i="1" s="1"/>
</calcChain>
</file>

<file path=xl/sharedStrings.xml><?xml version="1.0" encoding="utf-8"?>
<sst xmlns="http://schemas.openxmlformats.org/spreadsheetml/2006/main" count="242" uniqueCount="134">
  <si>
    <t>Datum:</t>
  </si>
  <si>
    <t>ROZPOČTOVÉ NÁKLADY</t>
  </si>
  <si>
    <t>Jméno:</t>
  </si>
  <si>
    <t>Podpis, razítko:</t>
  </si>
  <si>
    <t>Základ pro DPH</t>
  </si>
  <si>
    <t>Zadavatel:</t>
  </si>
  <si>
    <t>Kód položky</t>
  </si>
  <si>
    <t>Popis</t>
  </si>
  <si>
    <t>MJ</t>
  </si>
  <si>
    <t>Množství celkem</t>
  </si>
  <si>
    <t>Cena celkem</t>
  </si>
  <si>
    <t>kus</t>
  </si>
  <si>
    <t>m</t>
  </si>
  <si>
    <t>hod</t>
  </si>
  <si>
    <t>Cena MJ</t>
  </si>
  <si>
    <t>Stavba, název akce:</t>
  </si>
  <si>
    <t>Část, díl, objekt:</t>
  </si>
  <si>
    <t>Zadavatel, investor:</t>
  </si>
  <si>
    <t>Zpracovatel:</t>
  </si>
  <si>
    <t>Hlavní části stavby:</t>
  </si>
  <si>
    <t>CENA ZA STAVBU CELKEM</t>
  </si>
  <si>
    <t>Celkem hlavní části stavby:</t>
  </si>
  <si>
    <t>Ostatní náklady stavby</t>
  </si>
  <si>
    <t>Ing. Ondřej Holý</t>
  </si>
  <si>
    <t>DPH 21%</t>
  </si>
  <si>
    <t>Ostatní náklady stavby:</t>
  </si>
  <si>
    <t>Název stavby:</t>
  </si>
  <si>
    <t>Č.</t>
  </si>
  <si>
    <t>Celkem ostatní části stavby:</t>
  </si>
  <si>
    <t>Vypracoval:</t>
  </si>
  <si>
    <t>-</t>
  </si>
  <si>
    <t>KRYCÍ LIST NÁKLADŮ STAVBY</t>
  </si>
  <si>
    <t>155 21-1112</t>
  </si>
  <si>
    <r>
      <t>m</t>
    </r>
    <r>
      <rPr>
        <vertAlign val="superscript"/>
        <sz val="9"/>
        <rFont val="Calibri"/>
        <family val="2"/>
        <charset val="238"/>
        <scheme val="minor"/>
      </rPr>
      <t>2</t>
    </r>
  </si>
  <si>
    <t>155 21-1122</t>
  </si>
  <si>
    <r>
      <t>m</t>
    </r>
    <r>
      <rPr>
        <vertAlign val="superscript"/>
        <sz val="9"/>
        <rFont val="Calibri"/>
        <family val="2"/>
        <charset val="238"/>
        <scheme val="minor"/>
      </rPr>
      <t>3</t>
    </r>
  </si>
  <si>
    <t>155 21-1311</t>
  </si>
  <si>
    <t>Odtěžení nestabilních hornin ze skalních stěn horolezeckou technikou s použitím pneumatického nářadí s přehozením na vzdál. do 3 m nebo s naložením na dopravní prostředek</t>
  </si>
  <si>
    <t>944 51-1111</t>
  </si>
  <si>
    <t>944 51-1211</t>
  </si>
  <si>
    <t>944 51-1811</t>
  </si>
  <si>
    <t>Demontáž ochranné sítě z textilie z umělých vláken</t>
  </si>
  <si>
    <t>Geodetické práce před výstavbou</t>
  </si>
  <si>
    <t>013 25-4000</t>
  </si>
  <si>
    <t>012 10-3000</t>
  </si>
  <si>
    <t>agreg.</t>
  </si>
  <si>
    <t>030 00-1000</t>
  </si>
  <si>
    <t>soubor</t>
  </si>
  <si>
    <t>Geodetické práce po výstavbě</t>
  </si>
  <si>
    <t>Vybavení staveniště, přenosné zdroje, zabezpečení staveniště, sociální zařízení, včetně jeho odstranění</t>
  </si>
  <si>
    <t>Projektová dokumentace skutečného provedení stavby - DSPS</t>
  </si>
  <si>
    <t>012 30-3000</t>
  </si>
  <si>
    <t>CÚ</t>
  </si>
  <si>
    <t>944 31-1112</t>
  </si>
  <si>
    <t>Montáž ochranného ohrazení trubkového nebo dílcového na vnějších stranách objektů s hl. pádu do 6 m</t>
  </si>
  <si>
    <t>944 31-1211</t>
  </si>
  <si>
    <t>Příplatek za první a každý další den použití ohrazení</t>
  </si>
  <si>
    <t>944 31-1812</t>
  </si>
  <si>
    <t>Demontáž záchytného ohrazení trubkového nebo dílcového na vnějších stranách objektů s hl. pádu do 6 m</t>
  </si>
  <si>
    <t>Montáž ochranné sítě z textilie z umělých vláken, zavěšené na konstrukci lešení</t>
  </si>
  <si>
    <t>Příplatek k ochranné síti za první a ZKD den použití sítě</t>
  </si>
  <si>
    <t>789 32-1120</t>
  </si>
  <si>
    <t>041 50-3000</t>
  </si>
  <si>
    <t>Geotechnický dozor stavby</t>
  </si>
  <si>
    <r>
      <rPr>
        <b/>
        <i/>
        <sz val="10"/>
        <rFont val="Calibri"/>
        <family val="2"/>
        <charset val="238"/>
      </rPr>
      <t>Počet stránek:</t>
    </r>
    <r>
      <rPr>
        <sz val="10"/>
        <rFont val="Calibri"/>
        <family val="2"/>
        <charset val="238"/>
      </rPr>
      <t xml:space="preserve"> 3</t>
    </r>
  </si>
  <si>
    <t>Přípravné a přidružené práce a dočasné zajištění staveniště</t>
  </si>
  <si>
    <t>Odstranění vegetace, očištění, odtěžení a obnova aku. prostoru</t>
  </si>
  <si>
    <t xml:space="preserve">Lokální kotvení skalních bloků </t>
  </si>
  <si>
    <t>Zhotovení nátěru ocelových konstrukcí třídy I, jednosložkového vrchního, tloušťky do 40 μm</t>
  </si>
  <si>
    <t>Očištění skalních ploch horolezeckou technikou - odstr. keřů a stromů do pr. 10 cm vč. stažení k zemi, odklizení na hromady na vzd. do 50 m nebo naložení na dopravní prostředek</t>
  </si>
  <si>
    <t>Očištění skalních ploch horolezeckou technikou - očištění ručními nástroji, motykami a páčidly</t>
  </si>
  <si>
    <t>ÚRS I / 2018</t>
  </si>
  <si>
    <t xml:space="preserve"> --</t>
  </si>
  <si>
    <t>G NÁKLADY STAVBY</t>
  </si>
  <si>
    <t>Přesuny hmot</t>
  </si>
  <si>
    <t>112 15-1113</t>
  </si>
  <si>
    <t>Směrové kácení stromů s odřezáním kmene a s odvětvením, průměru kmene přes 300 do 400 mm</t>
  </si>
  <si>
    <t>112 21-1253</t>
  </si>
  <si>
    <t>Odstranění pařezů ručně, v rovině nebo na svahu přes 1:2 do 1:1, o průměru pařezu přes 300 do 400 mm</t>
  </si>
  <si>
    <t>997 00-2611</t>
  </si>
  <si>
    <t>Nakládání suti a vybouraných hmot na dopravní prostředek, pro vodorovné přemístění</t>
  </si>
  <si>
    <t>t</t>
  </si>
  <si>
    <t>171 20-1211</t>
  </si>
  <si>
    <t>Poplatek za uložení odpadu ze sypaniny na skládce (skládkovné)</t>
  </si>
  <si>
    <t>131 30-3102</t>
  </si>
  <si>
    <t>Hloubení zapažených i nezapaž. jam ručním nebo pneu. nářadím, s urovnáním dna do předeps. profilu a spádu, s přehoz. výkopku na vzd. do 3 m nebo s nalož. na dopr. prostředek, v horninách tř. 4, nesoudržných</t>
  </si>
  <si>
    <t>131 30-3109</t>
  </si>
  <si>
    <t>Příplatek k cenám hloubených vykopávek za lepivost horniny tř. 4</t>
  </si>
  <si>
    <t>327 21-2911</t>
  </si>
  <si>
    <t>Příplatek k cenám za lícování zdiva, jednostranné</t>
  </si>
  <si>
    <t>155 21-2116</t>
  </si>
  <si>
    <t>Vrty do skalních stěn prováděné horolezeckou technikou hloubky do 5 m přenosnými vrtacími kladivy průměru do 56 mm, v hornině třídy V a VI</t>
  </si>
  <si>
    <t>153 81-2121</t>
  </si>
  <si>
    <t>Trny z betonářské oceli včetně zainjektování, pr. přes 20 do 26 mm, délky přes 0,4 do 3 m</t>
  </si>
  <si>
    <t>628 63-1211</t>
  </si>
  <si>
    <t>Spárování zdiva opěrných zdí a valů, cementovou maltou, hloubky spárování do 30 mm, zdiva z lomového kamene, včetně spárovacích hmot</t>
  </si>
  <si>
    <t>155 21-3112</t>
  </si>
  <si>
    <t>Trny z oceli prováděné horolezeckou technikou, bez oka z celozávitové oceli pro uchycení sítí, zainjektované cem. maltou, délky do 3 m, průměru přes 20 do 26 mm</t>
  </si>
  <si>
    <t>Injektování aktivovanými směsmi, nízkotlaké vzestupné tlakem do 0,6 Mpa</t>
  </si>
  <si>
    <t>997 00-2511</t>
  </si>
  <si>
    <t>Vodorovné přemístění suti a vybourání hmot bez naložení, se složením a hrub. urovnáním na vzd. do 1 km</t>
  </si>
  <si>
    <t>997 00-2519</t>
  </si>
  <si>
    <t>Příplatek k ceně za vodorovné přemístění suti vybouraných hmot, ZKD 1 km přes 1 km</t>
  </si>
  <si>
    <t>122 20-1101</t>
  </si>
  <si>
    <r>
      <t>Zdivo nadzákladové opěrných zdí a valů z lomového kamene štípaného nebo ruč. vybíraného, na maltu, z pravidelných kamenů (na vazbu), obj. jednoho kusu kamene do 0,02 m</t>
    </r>
    <r>
      <rPr>
        <vertAlign val="superscript"/>
        <sz val="9"/>
        <rFont val="Calibri"/>
        <family val="2"/>
        <charset val="238"/>
        <scheme val="minor"/>
      </rPr>
      <t>3</t>
    </r>
    <r>
      <rPr>
        <sz val="9"/>
        <rFont val="Calibri"/>
        <family val="2"/>
        <charset val="238"/>
        <scheme val="minor"/>
      </rPr>
      <t>, šířka spáry přes 10 do 20 mm</t>
    </r>
  </si>
  <si>
    <t>327 21-1213</t>
  </si>
  <si>
    <t>327 21-3213</t>
  </si>
  <si>
    <r>
      <t>Zdění zdiva nadzákladového opěrných zdí a valů z lomového kamene štípaného nebo ruč. vybíraného, na maltu, z pravidelných kamenů (na vazbu), obj. jednoho kusu kamene do 0,02 m</t>
    </r>
    <r>
      <rPr>
        <vertAlign val="superscript"/>
        <sz val="9"/>
        <rFont val="Calibri"/>
        <family val="2"/>
        <charset val="238"/>
        <scheme val="minor"/>
      </rPr>
      <t>3</t>
    </r>
    <r>
      <rPr>
        <sz val="9"/>
        <rFont val="Calibri"/>
        <family val="2"/>
        <charset val="238"/>
        <scheme val="minor"/>
      </rPr>
      <t>, šířka spáry přes 10 do 20 mm</t>
    </r>
  </si>
  <si>
    <t>město Turnov, Antonína Dvořáka 335, 511 01 Turnov</t>
  </si>
  <si>
    <t>155 21-3511</t>
  </si>
  <si>
    <t>Trny z oceli prováděné horolezeckou technikou, zainjektované cem. maltou - statická zatěžovací zkouška</t>
  </si>
  <si>
    <t>281 60-4111</t>
  </si>
  <si>
    <t>Ochrana zdí bedněním před poškozením stavebním provozem, zřízení včetně odstranění, výšky bednění do 4 m</t>
  </si>
  <si>
    <t>Pokládka ochranných gumových plátů, včetně jejich odstranění po dokončení stavby</t>
  </si>
  <si>
    <t>Odkopávky a prokopávky nezapažené s přehozením výkopku na vzd. do 3 m nebo s naložením na doprav. prostředek v hornině třídy 3, do 100 m³</t>
  </si>
  <si>
    <t>Vrty do skalních stěn prováděné horolezeckou technikou, hloubky do 5 m, průběžným sacím vrttáním, průměru do 56 mm, v hornině třídy V a VI</t>
  </si>
  <si>
    <t>155 21-2316</t>
  </si>
  <si>
    <t>155 21-2326</t>
  </si>
  <si>
    <t>Vrty do skalních stěn prováděné horolezeckou technikou, hloubky do 5 m, průběžným sacím vrttáním, průměru přes 56 do 93 mm, úklonu do 45°, v hornině třídy V a VI</t>
  </si>
  <si>
    <t>155 21-3122</t>
  </si>
  <si>
    <t>Trny z oceli prováděné horolezeckou technikou, bez oka z celozávitové oceli pro uchycení sítí, zainjektované cem. maltou, délky přes 3 do 5 m, průměru přes 20 do 26 mm</t>
  </si>
  <si>
    <t>Kamenné podezdívky a vyzdívky puklin</t>
  </si>
  <si>
    <t>Kontinuální měření dilatací po dobu 1 roku</t>
  </si>
  <si>
    <t>275 31-1127</t>
  </si>
  <si>
    <t>Základové patky a bloky z betonu třídy C25/30, včetně dodání a uložení betonu do připravené konstrukce</t>
  </si>
  <si>
    <t>155 21-1261</t>
  </si>
  <si>
    <t>Vyčištění trhlin nebo dutin ve skalní stěně, prováděné horolezeckou technikou, při šířce dutin přes 400 mm, hloubky do 1000 mm</t>
  </si>
  <si>
    <t>Chemické ošetření pařezů, v rovině nebo na svahu přes 1:2 do 1:1, průměru pařezu do 400 mm</t>
  </si>
  <si>
    <t>Instalace geotechnického monitoringu</t>
  </si>
  <si>
    <t>153 81 1194</t>
  </si>
  <si>
    <t>Příplatek k ceně za provedení sklípku</t>
  </si>
  <si>
    <t>Hrad Valdštejn - stabilizace skalního podloží</t>
  </si>
  <si>
    <t>STRIX Inženýring, spol. s.r.o.</t>
  </si>
  <si>
    <t>Instalace geotechnického, postsanačního a automatizovaného monitoringu, včetně nultého měření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</si>
</sst>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* _-#,##0.00&quot; Kč&quot;;* \-#,##0.00&quot; Kč&quot;;* _-\-??&quot; Kč&quot;;@"/>
    <numFmt numFmtId="165" formatCode="#,##0&quot; Kč&quot;"/>
    <numFmt numFmtId="166" formatCode="#"/>
    <numFmt numFmtId="167" formatCode="_-* #,##0\ [$Kč-405]_-;\-* #,##0\ [$Kč-405]_-;_-* \-??\ [$Kč-405]_-;_-@_-"/>
    <numFmt numFmtId="168" formatCode="_-* #,##0.0&quot; Kč&quot;_-;\-* #,##0.0&quot; Kč&quot;_-;_-* &quot;- Kč&quot;_-;_-@_-"/>
    <numFmt numFmtId="169" formatCode="#,##0\ &quot;Kč&quot;"/>
    <numFmt numFmtId="170" formatCode="_-* #,##0&quot; Kč&quot;_-;\-* #,##0&quot; Kč&quot;_-;_-* &quot;- Kč&quot;_-;_-@_-"/>
    <numFmt numFmtId="171" formatCode="_-* #,##0.0\ _K_č_-;\-* #,##0.0\ _K_č_-;_-* &quot;-&quot;?\ _K_č_-;_-@_-"/>
    <numFmt numFmtId="172" formatCode="#,##0.0"/>
    <numFmt numFmtId="173" formatCode="0.0"/>
  </numFmts>
  <fonts count="27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i/>
      <sz val="9"/>
      <name val="Calibri"/>
      <family val="2"/>
      <charset val="238"/>
    </font>
    <font>
      <b/>
      <i/>
      <sz val="8"/>
      <name val="Calibri"/>
      <family val="2"/>
      <charset val="238"/>
    </font>
    <font>
      <i/>
      <sz val="8"/>
      <name val="Calibri"/>
      <family val="2"/>
      <charset val="238"/>
    </font>
    <font>
      <i/>
      <sz val="10"/>
      <name val="Calibri"/>
      <family val="2"/>
      <charset val="238"/>
    </font>
    <font>
      <b/>
      <i/>
      <sz val="10"/>
      <name val="Calibri"/>
      <family val="2"/>
      <charset val="238"/>
    </font>
    <font>
      <b/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20"/>
      <color theme="0"/>
      <name val="Calibri"/>
      <family val="2"/>
      <charset val="238"/>
    </font>
    <font>
      <b/>
      <sz val="14"/>
      <color theme="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</font>
    <font>
      <sz val="9"/>
      <color theme="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rgb="FFD600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3" fillId="0" borderId="0"/>
    <xf numFmtId="0" fontId="3" fillId="0" borderId="0"/>
    <xf numFmtId="0" fontId="3" fillId="0" borderId="0"/>
    <xf numFmtId="0" fontId="3" fillId="0" borderId="0"/>
  </cellStyleXfs>
  <cellXfs count="224">
    <xf numFmtId="0" fontId="0" fillId="0" borderId="0" xfId="0"/>
    <xf numFmtId="0" fontId="1" fillId="0" borderId="0" xfId="2" applyFont="1"/>
    <xf numFmtId="0" fontId="2" fillId="0" borderId="0" xfId="2" applyFont="1"/>
    <xf numFmtId="0" fontId="3" fillId="0" borderId="0" xfId="2"/>
    <xf numFmtId="0" fontId="1" fillId="0" borderId="0" xfId="2" applyFont="1"/>
    <xf numFmtId="0" fontId="4" fillId="0" borderId="0" xfId="2" applyFont="1"/>
    <xf numFmtId="0" fontId="6" fillId="0" borderId="0" xfId="2" applyFont="1" applyFill="1" applyBorder="1" applyAlignment="1">
      <alignment vertical="center"/>
    </xf>
    <xf numFmtId="0" fontId="4" fillId="0" borderId="0" xfId="2" applyFont="1" applyFill="1" applyBorder="1"/>
    <xf numFmtId="0" fontId="5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4" fillId="0" borderId="0" xfId="2" applyFont="1" applyFill="1" applyBorder="1" applyAlignment="1"/>
    <xf numFmtId="0" fontId="13" fillId="0" borderId="0" xfId="2" applyFont="1"/>
    <xf numFmtId="0" fontId="12" fillId="2" borderId="1" xfId="2" applyFont="1" applyFill="1" applyBorder="1" applyAlignment="1">
      <alignment vertical="center"/>
    </xf>
    <xf numFmtId="169" fontId="1" fillId="0" borderId="0" xfId="2" applyNumberFormat="1" applyFont="1"/>
    <xf numFmtId="0" fontId="12" fillId="2" borderId="3" xfId="2" applyFont="1" applyFill="1" applyBorder="1" applyAlignment="1">
      <alignment horizontal="right" vertical="center"/>
    </xf>
    <xf numFmtId="0" fontId="12" fillId="2" borderId="12" xfId="2" applyFont="1" applyFill="1" applyBorder="1" applyAlignment="1">
      <alignment horizontal="right" vertical="center"/>
    </xf>
    <xf numFmtId="14" fontId="17" fillId="2" borderId="0" xfId="2" applyNumberFormat="1" applyFont="1" applyFill="1" applyBorder="1" applyAlignment="1">
      <alignment horizontal="left" vertical="center"/>
    </xf>
    <xf numFmtId="0" fontId="18" fillId="2" borderId="0" xfId="2" applyFont="1" applyFill="1" applyBorder="1" applyAlignment="1">
      <alignment vertical="center"/>
    </xf>
    <xf numFmtId="0" fontId="17" fillId="2" borderId="9" xfId="2" applyFont="1" applyFill="1" applyBorder="1" applyAlignment="1">
      <alignment vertical="center"/>
    </xf>
    <xf numFmtId="0" fontId="17" fillId="2" borderId="6" xfId="2" applyFont="1" applyFill="1" applyBorder="1" applyAlignment="1">
      <alignment vertical="center"/>
    </xf>
    <xf numFmtId="0" fontId="17" fillId="2" borderId="7" xfId="2" applyFont="1" applyFill="1" applyBorder="1" applyAlignment="1">
      <alignment vertical="center"/>
    </xf>
    <xf numFmtId="0" fontId="17" fillId="2" borderId="8" xfId="2" applyFont="1" applyFill="1" applyBorder="1" applyAlignment="1">
      <alignment vertical="center"/>
    </xf>
    <xf numFmtId="0" fontId="17" fillId="2" borderId="12" xfId="2" applyFont="1" applyFill="1" applyBorder="1" applyAlignment="1">
      <alignment horizontal="left" vertical="center" wrapText="1"/>
    </xf>
    <xf numFmtId="169" fontId="17" fillId="2" borderId="9" xfId="2" applyNumberFormat="1" applyFont="1" applyFill="1" applyBorder="1" applyAlignment="1">
      <alignment vertical="center"/>
    </xf>
    <xf numFmtId="0" fontId="17" fillId="2" borderId="12" xfId="2" applyFont="1" applyFill="1" applyBorder="1" applyAlignment="1">
      <alignment vertical="center" wrapText="1"/>
    </xf>
    <xf numFmtId="0" fontId="17" fillId="2" borderId="5" xfId="2" applyFont="1" applyFill="1" applyBorder="1" applyAlignment="1">
      <alignment vertical="center"/>
    </xf>
    <xf numFmtId="0" fontId="18" fillId="2" borderId="5" xfId="2" applyFont="1" applyFill="1" applyBorder="1" applyAlignment="1">
      <alignment vertical="center"/>
    </xf>
    <xf numFmtId="14" fontId="17" fillId="2" borderId="9" xfId="2" applyNumberFormat="1" applyFont="1" applyFill="1" applyBorder="1" applyAlignment="1">
      <alignment horizontal="left" vertical="center"/>
    </xf>
    <xf numFmtId="0" fontId="12" fillId="2" borderId="3" xfId="2" applyFont="1" applyFill="1" applyBorder="1" applyAlignment="1">
      <alignment vertical="center"/>
    </xf>
    <xf numFmtId="0" fontId="11" fillId="2" borderId="12" xfId="2" applyFont="1" applyFill="1" applyBorder="1" applyAlignment="1">
      <alignment vertical="center"/>
    </xf>
    <xf numFmtId="0" fontId="11" fillId="2" borderId="6" xfId="2" applyFont="1" applyFill="1" applyBorder="1" applyAlignment="1">
      <alignment vertical="center"/>
    </xf>
    <xf numFmtId="0" fontId="17" fillId="2" borderId="3" xfId="2" applyFont="1" applyFill="1" applyBorder="1" applyAlignment="1">
      <alignment vertical="center"/>
    </xf>
    <xf numFmtId="0" fontId="12" fillId="2" borderId="17" xfId="2" applyFont="1" applyFill="1" applyBorder="1" applyAlignment="1">
      <alignment vertical="center"/>
    </xf>
    <xf numFmtId="165" fontId="18" fillId="2" borderId="18" xfId="2" applyNumberFormat="1" applyFont="1" applyFill="1" applyBorder="1" applyAlignment="1">
      <alignment horizontal="right" vertical="center"/>
    </xf>
    <xf numFmtId="0" fontId="12" fillId="2" borderId="13" xfId="2" applyFont="1" applyFill="1" applyBorder="1" applyAlignment="1">
      <alignment vertical="center"/>
    </xf>
    <xf numFmtId="165" fontId="18" fillId="2" borderId="14" xfId="2" applyNumberFormat="1" applyFont="1" applyFill="1" applyBorder="1" applyAlignment="1">
      <alignment horizontal="right" vertical="center"/>
    </xf>
    <xf numFmtId="0" fontId="17" fillId="2" borderId="6" xfId="2" applyFont="1" applyFill="1" applyBorder="1"/>
    <xf numFmtId="0" fontId="17" fillId="2" borderId="8" xfId="2" applyFont="1" applyFill="1" applyBorder="1"/>
    <xf numFmtId="0" fontId="17" fillId="2" borderId="9" xfId="2" applyFont="1" applyFill="1" applyBorder="1"/>
    <xf numFmtId="169" fontId="17" fillId="2" borderId="0" xfId="2" applyNumberFormat="1" applyFont="1" applyFill="1" applyBorder="1" applyAlignment="1">
      <alignment vertical="center"/>
    </xf>
    <xf numFmtId="169" fontId="18" fillId="2" borderId="10" xfId="2" applyNumberFormat="1" applyFont="1" applyFill="1" applyBorder="1" applyAlignment="1">
      <alignment vertical="center"/>
    </xf>
    <xf numFmtId="166" fontId="14" fillId="0" borderId="19" xfId="2" applyNumberFormat="1" applyFont="1" applyFill="1" applyBorder="1" applyAlignment="1" applyProtection="1">
      <alignment vertical="center" wrapText="1"/>
    </xf>
    <xf numFmtId="0" fontId="14" fillId="0" borderId="19" xfId="2" applyNumberFormat="1" applyFont="1" applyFill="1" applyBorder="1" applyAlignment="1" applyProtection="1">
      <alignment horizontal="center" vertical="center" wrapText="1"/>
    </xf>
    <xf numFmtId="0" fontId="14" fillId="0" borderId="19" xfId="2" applyFont="1" applyFill="1" applyBorder="1" applyAlignment="1">
      <alignment horizontal="center" vertical="center" wrapText="1"/>
    </xf>
    <xf numFmtId="0" fontId="14" fillId="0" borderId="24" xfId="2" applyFont="1" applyFill="1" applyBorder="1" applyAlignment="1">
      <alignment horizontal="center" vertical="center" wrapText="1"/>
    </xf>
    <xf numFmtId="166" fontId="14" fillId="0" borderId="24" xfId="2" applyNumberFormat="1" applyFont="1" applyFill="1" applyBorder="1" applyAlignment="1" applyProtection="1">
      <alignment vertical="center" wrapText="1"/>
    </xf>
    <xf numFmtId="0" fontId="14" fillId="0" borderId="24" xfId="2" applyNumberFormat="1" applyFont="1" applyFill="1" applyBorder="1" applyAlignment="1" applyProtection="1">
      <alignment horizontal="center" vertical="center" wrapText="1"/>
    </xf>
    <xf numFmtId="0" fontId="14" fillId="0" borderId="19" xfId="2" applyFont="1" applyFill="1" applyBorder="1" applyAlignment="1">
      <alignment horizontal="center" vertical="center"/>
    </xf>
    <xf numFmtId="168" fontId="14" fillId="0" borderId="19" xfId="2" applyNumberFormat="1" applyFont="1" applyFill="1" applyBorder="1" applyAlignment="1" applyProtection="1">
      <alignment vertical="center" wrapText="1"/>
    </xf>
    <xf numFmtId="168" fontId="14" fillId="0" borderId="19" xfId="2" applyNumberFormat="1" applyFont="1" applyFill="1" applyBorder="1" applyAlignment="1" applyProtection="1">
      <alignment vertical="top" wrapText="1"/>
    </xf>
    <xf numFmtId="0" fontId="14" fillId="0" borderId="20" xfId="2" applyFont="1" applyFill="1" applyBorder="1" applyAlignment="1">
      <alignment horizontal="center" vertical="center" wrapText="1"/>
    </xf>
    <xf numFmtId="166" fontId="14" fillId="0" borderId="20" xfId="2" applyNumberFormat="1" applyFont="1" applyFill="1" applyBorder="1" applyAlignment="1" applyProtection="1">
      <alignment vertical="center" wrapText="1"/>
    </xf>
    <xf numFmtId="0" fontId="14" fillId="0" borderId="20" xfId="2" applyNumberFormat="1" applyFont="1" applyFill="1" applyBorder="1" applyAlignment="1" applyProtection="1">
      <alignment horizontal="center" vertical="center" wrapText="1"/>
    </xf>
    <xf numFmtId="0" fontId="14" fillId="0" borderId="19" xfId="2" applyFont="1" applyFill="1" applyBorder="1" applyAlignment="1">
      <alignment horizontal="left" vertical="center" wrapText="1"/>
    </xf>
    <xf numFmtId="0" fontId="14" fillId="0" borderId="19" xfId="2" applyFont="1" applyFill="1" applyBorder="1" applyAlignment="1">
      <alignment vertical="center"/>
    </xf>
    <xf numFmtId="0" fontId="14" fillId="0" borderId="20" xfId="2" applyFont="1" applyFill="1" applyBorder="1" applyAlignment="1">
      <alignment horizontal="center" vertical="center"/>
    </xf>
    <xf numFmtId="168" fontId="14" fillId="0" borderId="24" xfId="2" applyNumberFormat="1" applyFont="1" applyFill="1" applyBorder="1" applyAlignment="1" applyProtection="1">
      <alignment vertical="top" wrapText="1"/>
    </xf>
    <xf numFmtId="0" fontId="14" fillId="0" borderId="20" xfId="2" applyFont="1" applyFill="1" applyBorder="1" applyAlignment="1">
      <alignment horizontal="left" vertical="center" wrapText="1"/>
    </xf>
    <xf numFmtId="170" fontId="14" fillId="0" borderId="30" xfId="2" applyNumberFormat="1" applyFont="1" applyFill="1" applyBorder="1" applyAlignment="1" applyProtection="1">
      <alignment vertical="center" wrapText="1"/>
    </xf>
    <xf numFmtId="170" fontId="14" fillId="0" borderId="31" xfId="2" applyNumberFormat="1" applyFont="1" applyFill="1" applyBorder="1" applyAlignment="1" applyProtection="1">
      <alignment vertical="center" wrapText="1"/>
    </xf>
    <xf numFmtId="168" fontId="14" fillId="0" borderId="20" xfId="2" applyNumberFormat="1" applyFont="1" applyFill="1" applyBorder="1" applyAlignment="1" applyProtection="1">
      <alignment vertical="center" wrapText="1"/>
    </xf>
    <xf numFmtId="170" fontId="14" fillId="0" borderId="32" xfId="2" applyNumberFormat="1" applyFont="1" applyFill="1" applyBorder="1" applyAlignment="1" applyProtection="1">
      <alignment vertical="center" wrapText="1"/>
    </xf>
    <xf numFmtId="0" fontId="14" fillId="0" borderId="28" xfId="2" applyFont="1" applyFill="1" applyBorder="1" applyAlignment="1">
      <alignment horizontal="center" vertical="center"/>
    </xf>
    <xf numFmtId="0" fontId="14" fillId="0" borderId="27" xfId="2" applyFont="1" applyFill="1" applyBorder="1" applyAlignment="1">
      <alignment horizontal="center" vertical="center" wrapText="1"/>
    </xf>
    <xf numFmtId="0" fontId="14" fillId="0" borderId="25" xfId="2" applyFont="1" applyFill="1" applyBorder="1" applyAlignment="1">
      <alignment horizontal="center" vertical="center" wrapText="1"/>
    </xf>
    <xf numFmtId="166" fontId="14" fillId="0" borderId="20" xfId="2" applyNumberFormat="1" applyFont="1" applyFill="1" applyBorder="1" applyAlignment="1" applyProtection="1">
      <alignment horizontal="left" vertical="center" wrapText="1"/>
    </xf>
    <xf numFmtId="170" fontId="14" fillId="0" borderId="19" xfId="2" applyNumberFormat="1" applyFont="1" applyFill="1" applyBorder="1" applyAlignment="1" applyProtection="1">
      <alignment vertical="center" wrapText="1"/>
    </xf>
    <xf numFmtId="0" fontId="14" fillId="0" borderId="19" xfId="2" applyFont="1" applyFill="1" applyBorder="1" applyAlignment="1">
      <alignment vertical="center" wrapText="1"/>
    </xf>
    <xf numFmtId="0" fontId="14" fillId="0" borderId="33" xfId="2" applyFont="1" applyFill="1" applyBorder="1" applyAlignment="1">
      <alignment horizontal="center" vertical="center" wrapText="1"/>
    </xf>
    <xf numFmtId="0" fontId="14" fillId="0" borderId="35" xfId="2" applyFont="1" applyFill="1" applyBorder="1" applyAlignment="1">
      <alignment horizontal="center" vertical="center" wrapText="1"/>
    </xf>
    <xf numFmtId="170" fontId="14" fillId="0" borderId="29" xfId="2" applyNumberFormat="1" applyFont="1" applyFill="1" applyBorder="1" applyAlignment="1" applyProtection="1">
      <alignment vertical="center" wrapText="1"/>
    </xf>
    <xf numFmtId="0" fontId="14" fillId="0" borderId="33" xfId="2" applyFont="1" applyFill="1" applyBorder="1" applyAlignment="1">
      <alignment horizontal="center" vertical="center"/>
    </xf>
    <xf numFmtId="168" fontId="14" fillId="0" borderId="33" xfId="2" applyNumberFormat="1" applyFont="1" applyFill="1" applyBorder="1" applyAlignment="1" applyProtection="1">
      <alignment vertical="center" wrapText="1"/>
    </xf>
    <xf numFmtId="170" fontId="14" fillId="0" borderId="34" xfId="2" applyNumberFormat="1" applyFont="1" applyFill="1" applyBorder="1" applyAlignment="1" applyProtection="1">
      <alignment vertical="center" wrapText="1"/>
    </xf>
    <xf numFmtId="0" fontId="14" fillId="0" borderId="36" xfId="2" applyFont="1" applyFill="1" applyBorder="1" applyAlignment="1">
      <alignment horizontal="center" vertical="center" wrapText="1"/>
    </xf>
    <xf numFmtId="168" fontId="14" fillId="2" borderId="0" xfId="2" applyNumberFormat="1" applyFont="1" applyFill="1" applyBorder="1" applyAlignment="1" applyProtection="1">
      <alignment vertical="center" wrapText="1"/>
    </xf>
    <xf numFmtId="170" fontId="14" fillId="0" borderId="20" xfId="2" applyNumberFormat="1" applyFont="1" applyFill="1" applyBorder="1" applyAlignment="1" applyProtection="1">
      <alignment vertical="center" wrapText="1"/>
    </xf>
    <xf numFmtId="168" fontId="14" fillId="2" borderId="19" xfId="2" applyNumberFormat="1" applyFont="1" applyFill="1" applyBorder="1" applyAlignment="1" applyProtection="1">
      <alignment vertical="center" wrapText="1"/>
    </xf>
    <xf numFmtId="166" fontId="19" fillId="4" borderId="2" xfId="2" applyNumberFormat="1" applyFont="1" applyFill="1" applyBorder="1" applyAlignment="1" applyProtection="1">
      <alignment horizontal="center" vertical="center" wrapText="1"/>
    </xf>
    <xf numFmtId="166" fontId="19" fillId="4" borderId="1" xfId="2" applyNumberFormat="1" applyFont="1" applyFill="1" applyBorder="1" applyAlignment="1" applyProtection="1">
      <alignment horizontal="center" vertical="center" wrapText="1"/>
    </xf>
    <xf numFmtId="166" fontId="19" fillId="4" borderId="2" xfId="2" applyNumberFormat="1" applyFont="1" applyFill="1" applyBorder="1" applyAlignment="1" applyProtection="1">
      <alignment vertical="center" wrapText="1"/>
    </xf>
    <xf numFmtId="167" fontId="19" fillId="4" borderId="2" xfId="2" applyNumberFormat="1" applyFont="1" applyFill="1" applyBorder="1" applyAlignment="1" applyProtection="1">
      <alignment vertical="center" wrapText="1"/>
    </xf>
    <xf numFmtId="0" fontId="14" fillId="0" borderId="0" xfId="2" applyFont="1" applyAlignment="1">
      <alignment horizontal="center"/>
    </xf>
    <xf numFmtId="0" fontId="14" fillId="0" borderId="0" xfId="2" applyFont="1"/>
    <xf numFmtId="2" fontId="14" fillId="0" borderId="0" xfId="2" applyNumberFormat="1" applyFont="1"/>
    <xf numFmtId="0" fontId="14" fillId="0" borderId="24" xfId="2" applyFont="1" applyFill="1" applyBorder="1" applyAlignment="1">
      <alignment horizontal="center" vertical="center"/>
    </xf>
    <xf numFmtId="166" fontId="19" fillId="3" borderId="2" xfId="2" applyNumberFormat="1" applyFont="1" applyFill="1" applyBorder="1" applyAlignment="1" applyProtection="1">
      <alignment vertical="center" wrapText="1"/>
    </xf>
    <xf numFmtId="167" fontId="19" fillId="3" borderId="2" xfId="2" applyNumberFormat="1" applyFont="1" applyFill="1" applyBorder="1" applyAlignment="1" applyProtection="1">
      <alignment vertical="center" wrapText="1"/>
    </xf>
    <xf numFmtId="0" fontId="14" fillId="0" borderId="33" xfId="2" applyFont="1" applyFill="1" applyBorder="1" applyAlignment="1">
      <alignment horizontal="left" vertical="center" wrapText="1"/>
    </xf>
    <xf numFmtId="2" fontId="19" fillId="4" borderId="1" xfId="2" applyNumberFormat="1" applyFont="1" applyFill="1" applyBorder="1" applyAlignment="1" applyProtection="1">
      <alignment vertical="center" wrapText="1"/>
    </xf>
    <xf numFmtId="168" fontId="19" fillId="4" borderId="2" xfId="2" applyNumberFormat="1" applyFont="1" applyFill="1" applyBorder="1" applyAlignment="1" applyProtection="1">
      <alignment horizontal="center" vertical="center" wrapText="1"/>
    </xf>
    <xf numFmtId="0" fontId="14" fillId="0" borderId="19" xfId="4" applyFont="1" applyFill="1" applyBorder="1" applyAlignment="1">
      <alignment horizontal="center" vertical="center" wrapText="1"/>
    </xf>
    <xf numFmtId="0" fontId="14" fillId="0" borderId="35" xfId="4" applyFont="1" applyFill="1" applyBorder="1" applyAlignment="1">
      <alignment horizontal="center" vertical="center"/>
    </xf>
    <xf numFmtId="0" fontId="14" fillId="0" borderId="26" xfId="4" applyFont="1" applyFill="1" applyBorder="1" applyAlignment="1">
      <alignment horizontal="center" vertical="center"/>
    </xf>
    <xf numFmtId="0" fontId="21" fillId="4" borderId="10" xfId="2" applyFont="1" applyFill="1" applyBorder="1" applyAlignment="1">
      <alignment horizontal="center" vertical="center"/>
    </xf>
    <xf numFmtId="170" fontId="14" fillId="0" borderId="32" xfId="4" applyNumberFormat="1" applyFont="1" applyFill="1" applyBorder="1" applyAlignment="1" applyProtection="1">
      <alignment vertical="center" wrapText="1"/>
    </xf>
    <xf numFmtId="2" fontId="21" fillId="4" borderId="2" xfId="2" applyNumberFormat="1" applyFont="1" applyFill="1" applyBorder="1"/>
    <xf numFmtId="0" fontId="14" fillId="0" borderId="25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22" fillId="0" borderId="21" xfId="2" applyNumberFormat="1" applyFont="1" applyFill="1" applyBorder="1" applyAlignment="1" applyProtection="1">
      <alignment horizontal="center" vertical="center" wrapText="1"/>
    </xf>
    <xf numFmtId="0" fontId="22" fillId="0" borderId="22" xfId="2" applyNumberFormat="1" applyFont="1" applyFill="1" applyBorder="1" applyAlignment="1" applyProtection="1">
      <alignment horizontal="center" vertical="center" wrapText="1"/>
    </xf>
    <xf numFmtId="2" fontId="22" fillId="0" borderId="22" xfId="2" applyNumberFormat="1" applyFont="1" applyFill="1" applyBorder="1" applyAlignment="1" applyProtection="1">
      <alignment horizontal="center" vertical="center" wrapText="1"/>
    </xf>
    <xf numFmtId="2" fontId="22" fillId="0" borderId="23" xfId="2" applyNumberFormat="1" applyFont="1" applyFill="1" applyBorder="1" applyAlignment="1" applyProtection="1">
      <alignment horizontal="center" vertical="center" wrapText="1"/>
    </xf>
    <xf numFmtId="0" fontId="14" fillId="0" borderId="0" xfId="2" applyFont="1" applyFill="1"/>
    <xf numFmtId="0" fontId="14" fillId="0" borderId="0" xfId="2" applyFont="1" applyFill="1" applyAlignment="1">
      <alignment vertical="center"/>
    </xf>
    <xf numFmtId="166" fontId="19" fillId="3" borderId="2" xfId="2" applyNumberFormat="1" applyFont="1" applyFill="1" applyBorder="1" applyAlignment="1" applyProtection="1">
      <alignment horizontal="center" vertical="center" wrapText="1"/>
    </xf>
    <xf numFmtId="166" fontId="14" fillId="2" borderId="35" xfId="2" applyNumberFormat="1" applyFont="1" applyFill="1" applyBorder="1" applyAlignment="1" applyProtection="1">
      <alignment horizontal="center" vertical="center" wrapText="1"/>
    </xf>
    <xf numFmtId="0" fontId="14" fillId="0" borderId="28" xfId="2" applyFont="1" applyFill="1" applyBorder="1" applyAlignment="1">
      <alignment vertical="center" wrapText="1"/>
    </xf>
    <xf numFmtId="4" fontId="6" fillId="0" borderId="20" xfId="2" applyNumberFormat="1" applyFont="1" applyFill="1" applyBorder="1" applyAlignment="1">
      <alignment horizontal="center" vertical="center" wrapText="1"/>
    </xf>
    <xf numFmtId="168" fontId="14" fillId="0" borderId="30" xfId="2" applyNumberFormat="1" applyFont="1" applyFill="1" applyBorder="1" applyAlignment="1" applyProtection="1">
      <alignment vertical="center" wrapText="1"/>
    </xf>
    <xf numFmtId="171" fontId="14" fillId="0" borderId="0" xfId="2" applyNumberFormat="1" applyFont="1" applyFill="1"/>
    <xf numFmtId="170" fontId="14" fillId="5" borderId="30" xfId="2" applyNumberFormat="1" applyFont="1" applyFill="1" applyBorder="1" applyAlignment="1" applyProtection="1">
      <alignment vertical="center" wrapText="1"/>
    </xf>
    <xf numFmtId="0" fontId="14" fillId="6" borderId="19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vertical="center"/>
    </xf>
    <xf numFmtId="168" fontId="14" fillId="6" borderId="19" xfId="0" applyNumberFormat="1" applyFont="1" applyFill="1" applyBorder="1" applyAlignment="1" applyProtection="1">
      <alignment vertical="center" wrapText="1"/>
    </xf>
    <xf numFmtId="170" fontId="14" fillId="5" borderId="31" xfId="2" applyNumberFormat="1" applyFont="1" applyFill="1" applyBorder="1" applyAlignment="1" applyProtection="1">
      <alignment vertical="center" wrapText="1"/>
    </xf>
    <xf numFmtId="170" fontId="14" fillId="7" borderId="29" xfId="4" applyNumberFormat="1" applyFont="1" applyFill="1" applyBorder="1" applyAlignment="1" applyProtection="1">
      <alignment vertical="center" wrapText="1"/>
    </xf>
    <xf numFmtId="170" fontId="14" fillId="7" borderId="32" xfId="4" applyNumberFormat="1" applyFont="1" applyFill="1" applyBorder="1" applyAlignment="1" applyProtection="1">
      <alignment vertical="center" wrapText="1"/>
    </xf>
    <xf numFmtId="166" fontId="19" fillId="4" borderId="7" xfId="2" applyNumberFormat="1" applyFont="1" applyFill="1" applyBorder="1" applyAlignment="1" applyProtection="1">
      <alignment horizontal="center" vertical="center" wrapText="1"/>
    </xf>
    <xf numFmtId="166" fontId="19" fillId="4" borderId="7" xfId="2" applyNumberFormat="1" applyFont="1" applyFill="1" applyBorder="1" applyAlignment="1" applyProtection="1">
      <alignment vertical="center" wrapText="1"/>
    </xf>
    <xf numFmtId="2" fontId="21" fillId="4" borderId="7" xfId="2" applyNumberFormat="1" applyFont="1" applyFill="1" applyBorder="1"/>
    <xf numFmtId="167" fontId="19" fillId="4" borderId="7" xfId="2" applyNumberFormat="1" applyFont="1" applyFill="1" applyBorder="1" applyAlignment="1" applyProtection="1">
      <alignment vertical="center" wrapText="1"/>
    </xf>
    <xf numFmtId="0" fontId="21" fillId="4" borderId="8" xfId="2" applyFont="1" applyFill="1" applyBorder="1" applyAlignment="1">
      <alignment horizontal="center" vertical="center"/>
    </xf>
    <xf numFmtId="0" fontId="14" fillId="0" borderId="37" xfId="2" applyFont="1" applyFill="1" applyBorder="1" applyAlignment="1">
      <alignment horizontal="center" vertical="center" wrapText="1"/>
    </xf>
    <xf numFmtId="172" fontId="14" fillId="0" borderId="20" xfId="4" applyNumberFormat="1" applyFont="1" applyFill="1" applyBorder="1" applyAlignment="1" applyProtection="1">
      <alignment vertical="center" wrapText="1"/>
    </xf>
    <xf numFmtId="0" fontId="14" fillId="0" borderId="24" xfId="2" applyFont="1" applyFill="1" applyBorder="1" applyAlignment="1">
      <alignment horizontal="left" vertical="center" wrapText="1"/>
    </xf>
    <xf numFmtId="172" fontId="14" fillId="0" borderId="24" xfId="2" applyNumberFormat="1" applyFont="1" applyFill="1" applyBorder="1" applyAlignment="1" applyProtection="1">
      <alignment vertical="center" wrapText="1"/>
    </xf>
    <xf numFmtId="0" fontId="14" fillId="8" borderId="20" xfId="2" applyFont="1" applyFill="1" applyBorder="1" applyAlignment="1">
      <alignment horizontal="center" vertical="center"/>
    </xf>
    <xf numFmtId="172" fontId="14" fillId="8" borderId="28" xfId="2" applyNumberFormat="1" applyFont="1" applyFill="1" applyBorder="1" applyAlignment="1" applyProtection="1">
      <alignment vertical="center" wrapText="1"/>
    </xf>
    <xf numFmtId="172" fontId="14" fillId="0" borderId="28" xfId="2" applyNumberFormat="1" applyFont="1" applyFill="1" applyBorder="1" applyAlignment="1" applyProtection="1">
      <alignment vertical="center" wrapText="1"/>
    </xf>
    <xf numFmtId="0" fontId="14" fillId="0" borderId="33" xfId="2" applyFont="1" applyFill="1" applyBorder="1" applyAlignment="1">
      <alignment vertical="center"/>
    </xf>
    <xf numFmtId="172" fontId="14" fillId="0" borderId="33" xfId="2" applyNumberFormat="1" applyFont="1" applyFill="1" applyBorder="1" applyAlignment="1" applyProtection="1">
      <alignment vertical="center" wrapText="1"/>
    </xf>
    <xf numFmtId="172" fontId="14" fillId="0" borderId="20" xfId="2" applyNumberFormat="1" applyFont="1" applyFill="1" applyBorder="1" applyAlignment="1" applyProtection="1">
      <alignment vertical="center" wrapText="1"/>
    </xf>
    <xf numFmtId="172" fontId="14" fillId="0" borderId="19" xfId="2" applyNumberFormat="1" applyFont="1" applyFill="1" applyBorder="1" applyAlignment="1" applyProtection="1">
      <alignment vertical="center" wrapText="1"/>
    </xf>
    <xf numFmtId="172" fontId="14" fillId="0" borderId="24" xfId="4" applyNumberFormat="1" applyFont="1" applyFill="1" applyBorder="1" applyAlignment="1" applyProtection="1">
      <alignment vertical="center" wrapText="1"/>
    </xf>
    <xf numFmtId="172" fontId="14" fillId="6" borderId="19" xfId="0" applyNumberFormat="1" applyFont="1" applyFill="1" applyBorder="1" applyAlignment="1" applyProtection="1">
      <alignment vertical="center" wrapText="1"/>
    </xf>
    <xf numFmtId="0" fontId="14" fillId="0" borderId="38" xfId="2" applyFont="1" applyFill="1" applyBorder="1" applyAlignment="1">
      <alignment horizontal="center" vertical="center"/>
    </xf>
    <xf numFmtId="0" fontId="14" fillId="0" borderId="38" xfId="2" applyFont="1" applyFill="1" applyBorder="1" applyAlignment="1">
      <alignment vertical="center" wrapText="1"/>
    </xf>
    <xf numFmtId="0" fontId="14" fillId="0" borderId="20" xfId="4" applyFont="1" applyFill="1" applyBorder="1" applyAlignment="1">
      <alignment horizontal="center" vertical="center" wrapText="1"/>
    </xf>
    <xf numFmtId="172" fontId="14" fillId="0" borderId="38" xfId="2" applyNumberFormat="1" applyFont="1" applyFill="1" applyBorder="1" applyAlignment="1" applyProtection="1">
      <alignment vertical="center" wrapText="1"/>
    </xf>
    <xf numFmtId="166" fontId="14" fillId="0" borderId="19" xfId="2" applyNumberFormat="1" applyFont="1" applyFill="1" applyBorder="1" applyAlignment="1" applyProtection="1">
      <alignment horizontal="center" vertical="center" wrapText="1"/>
    </xf>
    <xf numFmtId="0" fontId="6" fillId="0" borderId="19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vertical="center" wrapText="1"/>
    </xf>
    <xf numFmtId="4" fontId="6" fillId="0" borderId="19" xfId="2" applyNumberFormat="1" applyFont="1" applyFill="1" applyBorder="1" applyAlignment="1">
      <alignment horizontal="center" vertical="center" wrapText="1"/>
    </xf>
    <xf numFmtId="0" fontId="14" fillId="0" borderId="39" xfId="2" applyFont="1" applyFill="1" applyBorder="1" applyAlignment="1">
      <alignment horizontal="center" vertical="center" wrapText="1"/>
    </xf>
    <xf numFmtId="172" fontId="14" fillId="0" borderId="39" xfId="2" applyNumberFormat="1" applyFont="1" applyFill="1" applyBorder="1" applyAlignment="1" applyProtection="1">
      <alignment vertical="center" wrapText="1"/>
    </xf>
    <xf numFmtId="0" fontId="6" fillId="0" borderId="20" xfId="2" applyFont="1" applyFill="1" applyBorder="1" applyAlignment="1">
      <alignment vertical="center" wrapText="1"/>
    </xf>
    <xf numFmtId="172" fontId="14" fillId="0" borderId="19" xfId="2" applyNumberFormat="1" applyFont="1" applyFill="1" applyBorder="1" applyAlignment="1" applyProtection="1">
      <alignment horizontal="right" vertical="center" wrapText="1"/>
    </xf>
    <xf numFmtId="170" fontId="14" fillId="5" borderId="19" xfId="2" applyNumberFormat="1" applyFont="1" applyFill="1" applyBorder="1" applyAlignment="1" applyProtection="1">
      <alignment vertical="center" wrapText="1"/>
    </xf>
    <xf numFmtId="0" fontId="15" fillId="9" borderId="3" xfId="2" applyFont="1" applyFill="1" applyBorder="1" applyAlignment="1">
      <alignment vertical="center"/>
    </xf>
    <xf numFmtId="0" fontId="24" fillId="9" borderId="1" xfId="2" applyFont="1" applyFill="1" applyBorder="1" applyAlignment="1">
      <alignment vertical="center"/>
    </xf>
    <xf numFmtId="0" fontId="24" fillId="9" borderId="2" xfId="2" applyFont="1" applyFill="1" applyBorder="1" applyAlignment="1">
      <alignment vertical="center"/>
    </xf>
    <xf numFmtId="0" fontId="24" fillId="9" borderId="10" xfId="2" applyFont="1" applyFill="1" applyBorder="1" applyAlignment="1">
      <alignment vertical="center"/>
    </xf>
    <xf numFmtId="165" fontId="24" fillId="9" borderId="2" xfId="2" applyNumberFormat="1" applyFont="1" applyFill="1" applyBorder="1" applyAlignment="1">
      <alignment horizontal="right" vertical="center"/>
    </xf>
    <xf numFmtId="0" fontId="21" fillId="2" borderId="5" xfId="2" applyFont="1" applyFill="1" applyBorder="1"/>
    <xf numFmtId="0" fontId="21" fillId="2" borderId="8" xfId="2" applyFont="1" applyFill="1" applyBorder="1"/>
    <xf numFmtId="0" fontId="23" fillId="9" borderId="3" xfId="2" applyFont="1" applyFill="1" applyBorder="1" applyAlignment="1">
      <alignment vertical="center"/>
    </xf>
    <xf numFmtId="0" fontId="23" fillId="9" borderId="4" xfId="2" applyFont="1" applyFill="1" applyBorder="1" applyAlignment="1">
      <alignment vertical="center"/>
    </xf>
    <xf numFmtId="0" fontId="25" fillId="9" borderId="5" xfId="2" applyFont="1" applyFill="1" applyBorder="1"/>
    <xf numFmtId="0" fontId="21" fillId="2" borderId="4" xfId="2" applyFont="1" applyFill="1" applyBorder="1" applyAlignment="1">
      <alignment horizontal="left" vertical="center" wrapText="1"/>
    </xf>
    <xf numFmtId="0" fontId="19" fillId="2" borderId="4" xfId="2" applyFont="1" applyFill="1" applyBorder="1" applyAlignment="1">
      <alignment vertical="center"/>
    </xf>
    <xf numFmtId="0" fontId="21" fillId="2" borderId="7" xfId="2" applyFont="1" applyFill="1" applyBorder="1" applyAlignment="1">
      <alignment horizontal="left" vertical="center" wrapText="1"/>
    </xf>
    <xf numFmtId="0" fontId="26" fillId="2" borderId="7" xfId="2" applyFont="1" applyFill="1" applyBorder="1" applyAlignment="1">
      <alignment horizontal="left" vertical="center"/>
    </xf>
    <xf numFmtId="0" fontId="19" fillId="2" borderId="7" xfId="2" applyFont="1" applyFill="1" applyBorder="1" applyAlignment="1">
      <alignment horizontal="center" vertical="center"/>
    </xf>
    <xf numFmtId="167" fontId="19" fillId="2" borderId="7" xfId="2" applyNumberFormat="1" applyFont="1" applyFill="1" applyBorder="1" applyAlignment="1">
      <alignment horizontal="center" vertical="center"/>
    </xf>
    <xf numFmtId="0" fontId="14" fillId="0" borderId="33" xfId="2" applyFont="1" applyFill="1" applyBorder="1" applyAlignment="1">
      <alignment vertical="center" wrapText="1"/>
    </xf>
    <xf numFmtId="173" fontId="14" fillId="0" borderId="33" xfId="2" applyNumberFormat="1" applyFont="1" applyFill="1" applyBorder="1" applyAlignment="1" applyProtection="1">
      <alignment vertical="center" wrapText="1"/>
    </xf>
    <xf numFmtId="0" fontId="14" fillId="0" borderId="20" xfId="2" applyFont="1" applyFill="1" applyBorder="1" applyAlignment="1">
      <alignment vertical="center" wrapText="1"/>
    </xf>
    <xf numFmtId="2" fontId="14" fillId="0" borderId="20" xfId="2" applyNumberFormat="1" applyFont="1" applyFill="1" applyBorder="1" applyAlignment="1" applyProtection="1">
      <alignment vertical="center" wrapText="1"/>
    </xf>
    <xf numFmtId="168" fontId="14" fillId="0" borderId="34" xfId="2" applyNumberFormat="1" applyFont="1" applyFill="1" applyBorder="1" applyAlignment="1" applyProtection="1">
      <alignment vertical="center" wrapText="1"/>
    </xf>
    <xf numFmtId="0" fontId="14" fillId="0" borderId="41" xfId="2" applyFont="1" applyFill="1" applyBorder="1" applyAlignment="1">
      <alignment horizontal="center" vertical="center" wrapText="1"/>
    </xf>
    <xf numFmtId="166" fontId="14" fillId="0" borderId="24" xfId="2" applyNumberFormat="1" applyFont="1" applyFill="1" applyBorder="1" applyAlignment="1" applyProtection="1">
      <alignment horizontal="center" vertical="center" wrapText="1"/>
    </xf>
    <xf numFmtId="166" fontId="14" fillId="0" borderId="20" xfId="2" applyNumberFormat="1" applyFont="1" applyFill="1" applyBorder="1" applyAlignment="1" applyProtection="1">
      <alignment horizontal="center" vertical="center" wrapText="1"/>
    </xf>
    <xf numFmtId="0" fontId="14" fillId="0" borderId="24" xfId="2" applyFont="1" applyFill="1" applyBorder="1" applyAlignment="1">
      <alignment vertical="center" wrapText="1"/>
    </xf>
    <xf numFmtId="168" fontId="14" fillId="0" borderId="24" xfId="2" applyNumberFormat="1" applyFont="1" applyFill="1" applyBorder="1" applyAlignment="1" applyProtection="1">
      <alignment vertical="center" wrapText="1"/>
    </xf>
    <xf numFmtId="0" fontId="14" fillId="0" borderId="42" xfId="2" applyFont="1" applyFill="1" applyBorder="1" applyAlignment="1">
      <alignment horizontal="center" vertical="center" wrapText="1"/>
    </xf>
    <xf numFmtId="0" fontId="14" fillId="0" borderId="40" xfId="2" applyFont="1" applyFill="1" applyBorder="1" applyAlignment="1">
      <alignment horizontal="center" vertical="center" wrapText="1"/>
    </xf>
    <xf numFmtId="166" fontId="14" fillId="0" borderId="33" xfId="2" applyNumberFormat="1" applyFont="1" applyFill="1" applyBorder="1" applyAlignment="1" applyProtection="1">
      <alignment vertical="center" wrapText="1"/>
    </xf>
    <xf numFmtId="0" fontId="14" fillId="0" borderId="33" xfId="2" applyNumberFormat="1" applyFont="1" applyFill="1" applyBorder="1" applyAlignment="1" applyProtection="1">
      <alignment horizontal="center" vertical="center" wrapText="1"/>
    </xf>
    <xf numFmtId="172" fontId="14" fillId="0" borderId="33" xfId="4" applyNumberFormat="1" applyFont="1" applyFill="1" applyBorder="1" applyAlignment="1" applyProtection="1">
      <alignment vertical="center" wrapText="1"/>
    </xf>
    <xf numFmtId="168" fontId="14" fillId="0" borderId="33" xfId="2" applyNumberFormat="1" applyFont="1" applyFill="1" applyBorder="1" applyAlignment="1" applyProtection="1">
      <alignment vertical="top" wrapText="1"/>
    </xf>
    <xf numFmtId="170" fontId="14" fillId="7" borderId="33" xfId="4" applyNumberFormat="1" applyFont="1" applyFill="1" applyBorder="1" applyAlignment="1" applyProtection="1">
      <alignment vertical="center" wrapText="1"/>
    </xf>
    <xf numFmtId="0" fontId="14" fillId="0" borderId="41" xfId="2" applyFont="1" applyBorder="1" applyAlignment="1">
      <alignment horizontal="center" vertical="center"/>
    </xf>
    <xf numFmtId="0" fontId="14" fillId="0" borderId="42" xfId="4" applyFont="1" applyFill="1" applyBorder="1" applyAlignment="1">
      <alignment horizontal="center" vertical="center"/>
    </xf>
    <xf numFmtId="170" fontId="14" fillId="0" borderId="24" xfId="2" applyNumberFormat="1" applyFont="1" applyFill="1" applyBorder="1" applyAlignment="1" applyProtection="1">
      <alignment vertical="center" wrapText="1"/>
    </xf>
    <xf numFmtId="166" fontId="14" fillId="2" borderId="42" xfId="2" applyNumberFormat="1" applyFont="1" applyFill="1" applyBorder="1" applyAlignment="1" applyProtection="1">
      <alignment horizontal="center" vertical="center" wrapText="1"/>
    </xf>
    <xf numFmtId="166" fontId="14" fillId="2" borderId="40" xfId="2" applyNumberFormat="1" applyFont="1" applyFill="1" applyBorder="1" applyAlignment="1" applyProtection="1">
      <alignment horizontal="center" vertical="center" wrapText="1"/>
    </xf>
    <xf numFmtId="0" fontId="14" fillId="0" borderId="39" xfId="2" applyFont="1" applyFill="1" applyBorder="1" applyAlignment="1">
      <alignment horizontal="left" vertical="center" wrapText="1"/>
    </xf>
    <xf numFmtId="0" fontId="14" fillId="0" borderId="39" xfId="4" applyFont="1" applyFill="1" applyBorder="1" applyAlignment="1">
      <alignment horizontal="center" vertical="center" wrapText="1"/>
    </xf>
    <xf numFmtId="168" fontId="14" fillId="2" borderId="39" xfId="2" applyNumberFormat="1" applyFont="1" applyFill="1" applyBorder="1" applyAlignment="1" applyProtection="1">
      <alignment vertical="center" wrapText="1"/>
    </xf>
    <xf numFmtId="170" fontId="14" fillId="0" borderId="43" xfId="2" applyNumberFormat="1" applyFont="1" applyFill="1" applyBorder="1" applyAlignment="1" applyProtection="1">
      <alignment vertical="center" wrapText="1"/>
    </xf>
    <xf numFmtId="166" fontId="14" fillId="0" borderId="19" xfId="2" applyNumberFormat="1" applyFont="1" applyFill="1" applyBorder="1" applyAlignment="1" applyProtection="1">
      <alignment horizontal="left" vertical="center" wrapText="1"/>
    </xf>
    <xf numFmtId="172" fontId="6" fillId="0" borderId="20" xfId="4" applyNumberFormat="1" applyFont="1" applyFill="1" applyBorder="1" applyAlignment="1" applyProtection="1">
      <alignment vertical="center" wrapText="1"/>
    </xf>
    <xf numFmtId="173" fontId="14" fillId="0" borderId="20" xfId="2" applyNumberFormat="1" applyFont="1" applyFill="1" applyBorder="1" applyAlignment="1" applyProtection="1">
      <alignment vertical="center" wrapText="1"/>
    </xf>
    <xf numFmtId="0" fontId="14" fillId="2" borderId="19" xfId="2" applyFont="1" applyFill="1" applyBorder="1" applyAlignment="1">
      <alignment horizontal="left" vertical="center" wrapText="1"/>
    </xf>
    <xf numFmtId="168" fontId="14" fillId="2" borderId="4" xfId="2" applyNumberFormat="1" applyFont="1" applyFill="1" applyBorder="1" applyAlignment="1" applyProtection="1">
      <alignment vertical="center" wrapText="1"/>
    </xf>
    <xf numFmtId="0" fontId="14" fillId="0" borderId="44" xfId="4" applyFont="1" applyFill="1" applyBorder="1" applyAlignment="1">
      <alignment horizontal="center" vertical="center"/>
    </xf>
    <xf numFmtId="168" fontId="14" fillId="2" borderId="7" xfId="2" applyNumberFormat="1" applyFont="1" applyFill="1" applyBorder="1" applyAlignment="1" applyProtection="1">
      <alignment vertical="center" wrapText="1"/>
    </xf>
    <xf numFmtId="0" fontId="16" fillId="9" borderId="4" xfId="2" applyFont="1" applyFill="1" applyBorder="1" applyAlignment="1">
      <alignment horizontal="left" vertical="center"/>
    </xf>
    <xf numFmtId="0" fontId="16" fillId="9" borderId="4" xfId="2" applyFont="1" applyFill="1" applyBorder="1" applyAlignment="1">
      <alignment horizontal="left" vertical="center"/>
    </xf>
    <xf numFmtId="0" fontId="16" fillId="9" borderId="5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right"/>
    </xf>
    <xf numFmtId="0" fontId="10" fillId="0" borderId="0" xfId="2" applyFont="1" applyFill="1" applyBorder="1" applyAlignment="1">
      <alignment horizontal="right"/>
    </xf>
    <xf numFmtId="0" fontId="17" fillId="2" borderId="0" xfId="2" applyFont="1" applyFill="1" applyBorder="1" applyAlignment="1">
      <alignment horizontal="left" vertical="center"/>
    </xf>
    <xf numFmtId="0" fontId="17" fillId="2" borderId="9" xfId="2" applyFont="1" applyFill="1" applyBorder="1" applyAlignment="1">
      <alignment horizontal="left" vertical="center"/>
    </xf>
    <xf numFmtId="0" fontId="17" fillId="2" borderId="4" xfId="2" applyFont="1" applyFill="1" applyBorder="1" applyAlignment="1">
      <alignment horizontal="left" vertical="center" wrapText="1"/>
    </xf>
    <xf numFmtId="0" fontId="17" fillId="2" borderId="5" xfId="2" applyFont="1" applyFill="1" applyBorder="1" applyAlignment="1">
      <alignment horizontal="left" vertical="center" wrapText="1"/>
    </xf>
    <xf numFmtId="0" fontId="12" fillId="2" borderId="13" xfId="2" applyFont="1" applyFill="1" applyBorder="1" applyAlignment="1">
      <alignment horizontal="left" vertical="center"/>
    </xf>
    <xf numFmtId="0" fontId="12" fillId="2" borderId="11" xfId="2" applyFont="1" applyFill="1" applyBorder="1" applyAlignment="1">
      <alignment horizontal="left" vertical="center"/>
    </xf>
    <xf numFmtId="0" fontId="12" fillId="2" borderId="15" xfId="2" applyFont="1" applyFill="1" applyBorder="1" applyAlignment="1">
      <alignment horizontal="left" vertical="center"/>
    </xf>
    <xf numFmtId="0" fontId="12" fillId="2" borderId="16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17" fillId="2" borderId="0" xfId="2" applyNumberFormat="1" applyFont="1" applyFill="1" applyBorder="1" applyAlignment="1">
      <alignment horizontal="left" vertical="center"/>
    </xf>
    <xf numFmtId="0" fontId="17" fillId="2" borderId="9" xfId="2" applyNumberFormat="1" applyFont="1" applyFill="1" applyBorder="1" applyAlignment="1">
      <alignment horizontal="left" vertical="center"/>
    </xf>
    <xf numFmtId="0" fontId="26" fillId="2" borderId="6" xfId="2" applyFont="1" applyFill="1" applyBorder="1" applyAlignment="1">
      <alignment horizontal="right" vertical="center"/>
    </xf>
    <xf numFmtId="0" fontId="26" fillId="2" borderId="7" xfId="2" applyFont="1" applyFill="1" applyBorder="1" applyAlignment="1">
      <alignment horizontal="right" vertical="center"/>
    </xf>
    <xf numFmtId="0" fontId="26" fillId="2" borderId="3" xfId="2" applyFont="1" applyFill="1" applyBorder="1" applyAlignment="1">
      <alignment horizontal="right" vertical="center"/>
    </xf>
    <xf numFmtId="0" fontId="26" fillId="2" borderId="4" xfId="2" applyFont="1" applyFill="1" applyBorder="1" applyAlignment="1">
      <alignment horizontal="right" vertical="center"/>
    </xf>
  </cellXfs>
  <cellStyles count="5">
    <cellStyle name="Excel Built-in Currency" xfId="1"/>
    <cellStyle name="Excel Built-in Normal" xfId="2"/>
    <cellStyle name="Excel Built-in Normal 2" xfId="3"/>
    <cellStyle name="Normální" xfId="0" builtinId="0"/>
    <cellStyle name="TableStyleLight1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8F8F8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60000"/>
      <color rgb="FF2DA84C"/>
      <color rgb="FFF8F8F8"/>
      <color rgb="FFFF9797"/>
      <color rgb="FFA2D9FF"/>
      <color rgb="FF118EC8"/>
      <color rgb="FF0E65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19</xdr:row>
      <xdr:rowOff>19050</xdr:rowOff>
    </xdr:from>
    <xdr:to>
      <xdr:col>2</xdr:col>
      <xdr:colOff>1732855</xdr:colOff>
      <xdr:row>23</xdr:row>
      <xdr:rowOff>148557</xdr:rowOff>
    </xdr:to>
    <xdr:pic>
      <xdr:nvPicPr>
        <xdr:cNvPr id="4" name="Obrázek 3" descr="Strix_logo.ep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5375" y="5010150"/>
          <a:ext cx="1389955" cy="7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8F8F8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8F8F8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activeCell="B13" sqref="B13"/>
    </sheetView>
  </sheetViews>
  <sheetFormatPr defaultRowHeight="11.25" customHeight="1" x14ac:dyDescent="0.2"/>
  <cols>
    <col min="1" max="1" width="52.7109375" style="1" customWidth="1"/>
    <col min="2" max="2" width="15.7109375" style="1" customWidth="1"/>
    <col min="3" max="3" width="52.7109375" style="1" customWidth="1"/>
    <col min="4" max="4" width="15.7109375" style="1" customWidth="1"/>
    <col min="5" max="16384" width="9.140625" style="1"/>
  </cols>
  <sheetData>
    <row r="1" spans="1:11" s="4" customFormat="1" ht="2.1" customHeight="1" thickBot="1" x14ac:dyDescent="0.25"/>
    <row r="2" spans="1:11" ht="27.95" customHeight="1" thickBot="1" x14ac:dyDescent="0.25">
      <c r="A2" s="152"/>
      <c r="B2" s="202" t="s">
        <v>31</v>
      </c>
      <c r="C2" s="202"/>
      <c r="D2" s="203"/>
    </row>
    <row r="3" spans="1:11" ht="24" customHeight="1" x14ac:dyDescent="0.2">
      <c r="A3" s="17" t="s">
        <v>15</v>
      </c>
      <c r="B3" s="208" t="str">
        <f>'Náklady stavby'!D3</f>
        <v>Hrad Valdštejn - stabilizace skalního podloží</v>
      </c>
      <c r="C3" s="208"/>
      <c r="D3" s="209"/>
    </row>
    <row r="4" spans="1:11" ht="15" customHeight="1" x14ac:dyDescent="0.2">
      <c r="A4" s="18" t="s">
        <v>17</v>
      </c>
      <c r="B4" s="206" t="str">
        <f>'Náklady stavby'!D4</f>
        <v>město Turnov, Antonína Dvořáka 335, 511 01 Turnov</v>
      </c>
      <c r="C4" s="206"/>
      <c r="D4" s="207"/>
    </row>
    <row r="5" spans="1:11" s="4" customFormat="1" ht="15" customHeight="1" x14ac:dyDescent="0.2">
      <c r="A5" s="18" t="s">
        <v>16</v>
      </c>
      <c r="B5" s="218" t="s">
        <v>72</v>
      </c>
      <c r="C5" s="218"/>
      <c r="D5" s="219"/>
    </row>
    <row r="6" spans="1:11" ht="15" customHeight="1" x14ac:dyDescent="0.2">
      <c r="A6" s="18" t="s">
        <v>18</v>
      </c>
      <c r="B6" s="206" t="s">
        <v>132</v>
      </c>
      <c r="C6" s="206"/>
      <c r="D6" s="207"/>
    </row>
    <row r="7" spans="1:11" ht="15" customHeight="1" x14ac:dyDescent="0.2">
      <c r="A7" s="18" t="s">
        <v>0</v>
      </c>
      <c r="B7" s="19">
        <f ca="1">NOW()</f>
        <v>43434.454700462964</v>
      </c>
      <c r="C7" s="20" t="s">
        <v>64</v>
      </c>
      <c r="D7" s="21"/>
    </row>
    <row r="8" spans="1:11" ht="6" customHeight="1" thickBot="1" x14ac:dyDescent="0.25">
      <c r="A8" s="22"/>
      <c r="B8" s="23"/>
      <c r="C8" s="23"/>
      <c r="D8" s="24"/>
    </row>
    <row r="9" spans="1:11" ht="27.95" customHeight="1" thickBot="1" x14ac:dyDescent="0.25">
      <c r="A9" s="153"/>
      <c r="B9" s="154" t="s">
        <v>1</v>
      </c>
      <c r="C9" s="154"/>
      <c r="D9" s="155"/>
    </row>
    <row r="10" spans="1:11" ht="12" customHeight="1" x14ac:dyDescent="0.2">
      <c r="A10" s="210" t="s">
        <v>19</v>
      </c>
      <c r="B10" s="211"/>
      <c r="C10" s="212" t="s">
        <v>25</v>
      </c>
      <c r="D10" s="213"/>
    </row>
    <row r="11" spans="1:11" ht="27.95" customHeight="1" x14ac:dyDescent="0.2">
      <c r="A11" s="25" t="str">
        <f>'Náklady stavby'!D6</f>
        <v>Přípravné a přidružené práce a dočasné zajištění staveniště</v>
      </c>
      <c r="B11" s="42">
        <f>'Náklady stavby'!H6</f>
        <v>0</v>
      </c>
      <c r="C11" s="27" t="str">
        <f>'Náklady stavby'!D57</f>
        <v>Geodetické práce před výstavbou</v>
      </c>
      <c r="D11" s="26">
        <f>'Náklady stavby'!H57</f>
        <v>0</v>
      </c>
    </row>
    <row r="12" spans="1:11" ht="27.95" customHeight="1" x14ac:dyDescent="0.2">
      <c r="A12" s="25" t="str">
        <f>'Náklady stavby'!D15</f>
        <v>Odstranění vegetace, očištění, odtěžení a obnova aku. prostoru</v>
      </c>
      <c r="B12" s="42">
        <f>'Náklady stavby'!H15</f>
        <v>0</v>
      </c>
      <c r="C12" s="27" t="str">
        <f>'Náklady stavby'!D58</f>
        <v>Geodetické práce po výstavbě</v>
      </c>
      <c r="D12" s="26">
        <f>'Náklady stavby'!H58</f>
        <v>0</v>
      </c>
      <c r="H12" s="3"/>
      <c r="I12" s="3"/>
      <c r="J12" s="3"/>
      <c r="K12" s="3"/>
    </row>
    <row r="13" spans="1:11" s="4" customFormat="1" ht="27.95" customHeight="1" x14ac:dyDescent="0.2">
      <c r="A13" s="25" t="str">
        <f>'Náklady stavby'!D23</f>
        <v xml:space="preserve">Lokální kotvení skalních bloků </v>
      </c>
      <c r="B13" s="42">
        <f>'Náklady stavby'!H23</f>
        <v>0</v>
      </c>
      <c r="C13" s="27" t="str">
        <f>'Náklady stavby'!D59</f>
        <v>Projektová dokumentace skutečného provedení stavby - DSPS</v>
      </c>
      <c r="D13" s="26">
        <f>'Náklady stavby'!H59</f>
        <v>0</v>
      </c>
      <c r="H13" s="3"/>
      <c r="I13" s="3"/>
      <c r="J13" s="3"/>
      <c r="K13" s="3"/>
    </row>
    <row r="14" spans="1:11" s="4" customFormat="1" ht="27.95" customHeight="1" x14ac:dyDescent="0.2">
      <c r="A14" s="25" t="str">
        <f>'Náklady stavby'!D32</f>
        <v>Kamenné podezdívky a vyzdívky puklin</v>
      </c>
      <c r="B14" s="42">
        <f>'Náklady stavby'!H32</f>
        <v>0</v>
      </c>
      <c r="C14" s="27" t="str">
        <f>'Náklady stavby'!D60</f>
        <v>Geotechnický dozor stavby</v>
      </c>
      <c r="D14" s="26">
        <f>'Náklady stavby'!H60</f>
        <v>0</v>
      </c>
      <c r="H14" s="3"/>
      <c r="I14" s="3"/>
      <c r="J14" s="3"/>
      <c r="K14" s="3"/>
    </row>
    <row r="15" spans="1:11" ht="27.95" customHeight="1" x14ac:dyDescent="0.2">
      <c r="A15" s="25" t="str">
        <f>'Náklady stavby'!D48</f>
        <v>Instalace geotechnického monitoringu</v>
      </c>
      <c r="B15" s="42">
        <f>'Náklady stavby'!H48</f>
        <v>0</v>
      </c>
      <c r="C15" s="27" t="str">
        <f>'Náklady stavby'!D61</f>
        <v>Vybavení staveniště, přenosné zdroje, zabezpečení staveniště, sociální zařízení, včetně jeho odstranění</v>
      </c>
      <c r="D15" s="26">
        <f>'Náklady stavby'!H61</f>
        <v>0</v>
      </c>
      <c r="H15" s="14"/>
      <c r="I15" s="3"/>
      <c r="J15" s="3"/>
      <c r="K15" s="3"/>
    </row>
    <row r="16" spans="1:11" s="4" customFormat="1" ht="27.95" customHeight="1" x14ac:dyDescent="0.2">
      <c r="A16" s="25" t="str">
        <f>'Náklady stavby'!D51</f>
        <v>Přesuny hmot</v>
      </c>
      <c r="B16" s="42">
        <f>'Náklady stavby'!H51</f>
        <v>0</v>
      </c>
      <c r="C16" s="27"/>
      <c r="D16" s="26"/>
      <c r="H16" s="14"/>
      <c r="I16" s="3"/>
      <c r="J16" s="3"/>
      <c r="K16" s="3"/>
    </row>
    <row r="17" spans="1:11" s="4" customFormat="1" ht="27.95" customHeight="1" x14ac:dyDescent="0.2">
      <c r="A17" s="25"/>
      <c r="B17" s="42"/>
      <c r="C17" s="27"/>
      <c r="D17" s="26"/>
      <c r="H17" s="14"/>
      <c r="I17" s="3"/>
      <c r="J17" s="3"/>
      <c r="K17" s="3"/>
    </row>
    <row r="18" spans="1:11" s="4" customFormat="1" ht="27.95" customHeight="1" thickBot="1" x14ac:dyDescent="0.25">
      <c r="A18" s="25"/>
      <c r="B18" s="42"/>
      <c r="C18" s="27"/>
      <c r="D18" s="26"/>
      <c r="H18" s="14"/>
      <c r="I18" s="3"/>
      <c r="J18" s="3"/>
      <c r="K18" s="3"/>
    </row>
    <row r="19" spans="1:11" ht="12" customHeight="1" thickBot="1" x14ac:dyDescent="0.25">
      <c r="A19" s="15" t="s">
        <v>21</v>
      </c>
      <c r="B19" s="43">
        <f>SUM(B11:B18)</f>
        <v>0</v>
      </c>
      <c r="C19" s="15" t="s">
        <v>28</v>
      </c>
      <c r="D19" s="43">
        <f>SUM(D11:D18)</f>
        <v>0</v>
      </c>
      <c r="F19" s="16"/>
      <c r="H19" s="3"/>
      <c r="I19" s="3"/>
      <c r="J19" s="3"/>
      <c r="K19" s="3"/>
    </row>
    <row r="20" spans="1:11" s="4" customFormat="1" ht="9.9499999999999993" customHeight="1" x14ac:dyDescent="0.2">
      <c r="A20" s="34"/>
      <c r="B20" s="28"/>
      <c r="C20" s="214"/>
      <c r="D20" s="215"/>
    </row>
    <row r="21" spans="1:11" ht="15" customHeight="1" x14ac:dyDescent="0.2">
      <c r="A21" s="35" t="s">
        <v>4</v>
      </c>
      <c r="B21" s="36">
        <f>D19+B19</f>
        <v>0</v>
      </c>
      <c r="C21" s="214"/>
      <c r="D21" s="215"/>
    </row>
    <row r="22" spans="1:11" ht="15" customHeight="1" x14ac:dyDescent="0.2">
      <c r="A22" s="37" t="s">
        <v>24</v>
      </c>
      <c r="B22" s="38">
        <f>0.21*B21</f>
        <v>0</v>
      </c>
      <c r="C22" s="214"/>
      <c r="D22" s="215"/>
    </row>
    <row r="23" spans="1:11" ht="9.9499999999999993" customHeight="1" thickBot="1" x14ac:dyDescent="0.25">
      <c r="A23" s="39"/>
      <c r="B23" s="40"/>
      <c r="C23" s="214"/>
      <c r="D23" s="215"/>
    </row>
    <row r="24" spans="1:11" ht="15" customHeight="1" thickBot="1" x14ac:dyDescent="0.25">
      <c r="A24" s="153" t="s">
        <v>20</v>
      </c>
      <c r="B24" s="156">
        <f>B21+B22</f>
        <v>0</v>
      </c>
      <c r="C24" s="216"/>
      <c r="D24" s="217"/>
    </row>
    <row r="25" spans="1:11" ht="12" customHeight="1" x14ac:dyDescent="0.2">
      <c r="A25" s="31" t="s">
        <v>5</v>
      </c>
      <c r="B25" s="28"/>
      <c r="C25" s="31" t="s">
        <v>29</v>
      </c>
      <c r="D25" s="29"/>
    </row>
    <row r="26" spans="1:11" ht="12" customHeight="1" x14ac:dyDescent="0.2">
      <c r="A26" s="32" t="s">
        <v>2</v>
      </c>
      <c r="B26" s="21"/>
      <c r="C26" s="32" t="s">
        <v>2</v>
      </c>
      <c r="D26" s="41" t="s">
        <v>23</v>
      </c>
    </row>
    <row r="27" spans="1:11" ht="12" customHeight="1" x14ac:dyDescent="0.2">
      <c r="A27" s="32" t="s">
        <v>0</v>
      </c>
      <c r="B27" s="21"/>
      <c r="C27" s="32" t="s">
        <v>0</v>
      </c>
      <c r="D27" s="30">
        <f ca="1">B7</f>
        <v>43434.454700462964</v>
      </c>
    </row>
    <row r="28" spans="1:11" ht="12" customHeight="1" thickBot="1" x14ac:dyDescent="0.25">
      <c r="A28" s="33" t="s">
        <v>3</v>
      </c>
      <c r="B28" s="24"/>
      <c r="C28" s="33" t="s">
        <v>3</v>
      </c>
      <c r="D28" s="24"/>
    </row>
    <row r="29" spans="1:11" ht="12" customHeight="1" x14ac:dyDescent="0.2">
      <c r="A29" s="6"/>
      <c r="B29" s="6"/>
      <c r="C29" s="6"/>
      <c r="D29" s="6"/>
    </row>
    <row r="30" spans="1:11" ht="15" customHeight="1" x14ac:dyDescent="0.2"/>
    <row r="31" spans="1:11" s="2" customFormat="1" ht="22.5" customHeight="1" x14ac:dyDescent="0.2"/>
    <row r="33" spans="1:4" ht="12" customHeight="1" x14ac:dyDescent="0.2"/>
    <row r="34" spans="1:4" ht="16.5" customHeight="1" x14ac:dyDescent="0.2"/>
    <row r="36" spans="1:4" ht="11.25" customHeight="1" x14ac:dyDescent="0.2">
      <c r="A36" s="8"/>
      <c r="B36" s="10"/>
      <c r="C36" s="13"/>
      <c r="D36" s="13"/>
    </row>
    <row r="37" spans="1:4" ht="15" customHeight="1" x14ac:dyDescent="0.2">
      <c r="A37" s="9"/>
      <c r="B37" s="11"/>
      <c r="C37" s="13"/>
      <c r="D37" s="13"/>
    </row>
    <row r="38" spans="1:4" ht="11.25" customHeight="1" x14ac:dyDescent="0.2">
      <c r="A38" s="7"/>
      <c r="B38" s="7"/>
      <c r="C38" s="13"/>
      <c r="D38" s="13"/>
    </row>
    <row r="39" spans="1:4" ht="11.25" customHeight="1" x14ac:dyDescent="0.2">
      <c r="A39" s="12"/>
      <c r="B39" s="7"/>
      <c r="C39" s="13"/>
      <c r="D39" s="13"/>
    </row>
    <row r="40" spans="1:4" ht="11.25" customHeight="1" x14ac:dyDescent="0.2">
      <c r="A40" s="7"/>
      <c r="B40" s="7"/>
      <c r="C40" s="205"/>
      <c r="D40" s="205"/>
    </row>
    <row r="41" spans="1:4" ht="12.75" customHeight="1" x14ac:dyDescent="0.2">
      <c r="A41" s="7"/>
      <c r="B41" s="7"/>
      <c r="C41" s="204"/>
      <c r="D41" s="204"/>
    </row>
    <row r="42" spans="1:4" ht="11.25" customHeight="1" x14ac:dyDescent="0.2">
      <c r="A42" s="5"/>
      <c r="B42" s="5"/>
      <c r="C42" s="5"/>
      <c r="D42" s="5"/>
    </row>
    <row r="43" spans="1:4" ht="11.25" customHeight="1" x14ac:dyDescent="0.2">
      <c r="A43" s="5"/>
      <c r="B43" s="5"/>
      <c r="C43" s="5"/>
      <c r="D43" s="5"/>
    </row>
  </sheetData>
  <mergeCells count="10">
    <mergeCell ref="B2:D2"/>
    <mergeCell ref="C41:D41"/>
    <mergeCell ref="C40:D40"/>
    <mergeCell ref="B6:D6"/>
    <mergeCell ref="B3:D3"/>
    <mergeCell ref="B4:D4"/>
    <mergeCell ref="A10:B10"/>
    <mergeCell ref="C10:D10"/>
    <mergeCell ref="C20:D24"/>
    <mergeCell ref="B5:D5"/>
  </mergeCells>
  <printOptions horizontalCentered="1"/>
  <pageMargins left="0.39370078740157483" right="0.39370078740157483" top="0.78740157480314965" bottom="0.39370078740157483" header="0.19685039370078741" footer="0.19685039370078741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1"/>
  <sheetViews>
    <sheetView zoomScaleSheetLayoutView="80" workbookViewId="0">
      <selection activeCell="G57" sqref="G57:G61"/>
    </sheetView>
  </sheetViews>
  <sheetFormatPr defaultRowHeight="12.75" customHeight="1" x14ac:dyDescent="0.2"/>
  <cols>
    <col min="1" max="1" width="3.140625" style="86" customWidth="1"/>
    <col min="2" max="2" width="3.140625" style="85" customWidth="1"/>
    <col min="3" max="3" width="11.7109375" style="85" customWidth="1"/>
    <col min="4" max="4" width="85.7109375" style="86" customWidth="1"/>
    <col min="5" max="5" width="6.7109375" style="85" customWidth="1"/>
    <col min="6" max="6" width="8.7109375" style="87" customWidth="1"/>
    <col min="7" max="7" width="10.7109375" style="87" customWidth="1"/>
    <col min="8" max="8" width="11.7109375" style="87" customWidth="1"/>
    <col min="9" max="9" width="10.7109375" style="86" customWidth="1"/>
    <col min="10" max="10" width="9.140625" style="86"/>
    <col min="11" max="11" width="12.28515625" style="86" bestFit="1" customWidth="1"/>
    <col min="12" max="16384" width="9.140625" style="86"/>
  </cols>
  <sheetData>
    <row r="1" spans="2:9" ht="2.1" customHeight="1" thickBot="1" x14ac:dyDescent="0.25"/>
    <row r="2" spans="2:9" ht="30" customHeight="1" thickBot="1" x14ac:dyDescent="0.25">
      <c r="B2" s="159"/>
      <c r="C2" s="160"/>
      <c r="D2" s="201" t="s">
        <v>73</v>
      </c>
      <c r="E2" s="160"/>
      <c r="F2" s="160"/>
      <c r="G2" s="160"/>
      <c r="H2" s="160"/>
      <c r="I2" s="161"/>
    </row>
    <row r="3" spans="2:9" ht="15" customHeight="1" x14ac:dyDescent="0.2">
      <c r="B3" s="222" t="s">
        <v>26</v>
      </c>
      <c r="C3" s="223"/>
      <c r="D3" s="162" t="s">
        <v>131</v>
      </c>
      <c r="E3" s="163"/>
      <c r="F3" s="163"/>
      <c r="G3" s="163"/>
      <c r="H3" s="163"/>
      <c r="I3" s="157"/>
    </row>
    <row r="4" spans="2:9" ht="15" customHeight="1" thickBot="1" x14ac:dyDescent="0.25">
      <c r="B4" s="220" t="s">
        <v>5</v>
      </c>
      <c r="C4" s="221"/>
      <c r="D4" s="164" t="s">
        <v>108</v>
      </c>
      <c r="E4" s="165"/>
      <c r="F4" s="166"/>
      <c r="G4" s="166"/>
      <c r="H4" s="167"/>
      <c r="I4" s="158"/>
    </row>
    <row r="5" spans="2:9" ht="30" customHeight="1" thickBot="1" x14ac:dyDescent="0.25">
      <c r="B5" s="102" t="s">
        <v>27</v>
      </c>
      <c r="C5" s="103" t="s">
        <v>6</v>
      </c>
      <c r="D5" s="103" t="s">
        <v>7</v>
      </c>
      <c r="E5" s="103" t="s">
        <v>8</v>
      </c>
      <c r="F5" s="104" t="s">
        <v>9</v>
      </c>
      <c r="G5" s="104" t="s">
        <v>14</v>
      </c>
      <c r="H5" s="104" t="s">
        <v>10</v>
      </c>
      <c r="I5" s="105" t="s">
        <v>52</v>
      </c>
    </row>
    <row r="6" spans="2:9" ht="12.95" customHeight="1" thickBot="1" x14ac:dyDescent="0.25">
      <c r="B6" s="92"/>
      <c r="C6" s="81"/>
      <c r="D6" s="89" t="s">
        <v>65</v>
      </c>
      <c r="E6" s="108"/>
      <c r="F6" s="108"/>
      <c r="G6" s="108"/>
      <c r="H6" s="90">
        <f>SUM(H7:H14)</f>
        <v>0</v>
      </c>
      <c r="I6" s="97"/>
    </row>
    <row r="7" spans="2:9" s="106" customFormat="1" ht="12.95" customHeight="1" x14ac:dyDescent="0.2">
      <c r="B7" s="96">
        <v>1</v>
      </c>
      <c r="C7" s="53" t="s">
        <v>45</v>
      </c>
      <c r="D7" s="60" t="s">
        <v>113</v>
      </c>
      <c r="E7" s="58" t="s">
        <v>33</v>
      </c>
      <c r="F7" s="135">
        <f>15*4</f>
        <v>60</v>
      </c>
      <c r="G7" s="63"/>
      <c r="H7" s="64">
        <f t="shared" ref="H7:H8" si="0">F7*G7</f>
        <v>0</v>
      </c>
      <c r="I7" s="66" t="s">
        <v>30</v>
      </c>
    </row>
    <row r="8" spans="2:9" s="106" customFormat="1" ht="12.95" customHeight="1" x14ac:dyDescent="0.2">
      <c r="B8" s="96">
        <v>2</v>
      </c>
      <c r="C8" s="53" t="s">
        <v>45</v>
      </c>
      <c r="D8" s="60" t="s">
        <v>112</v>
      </c>
      <c r="E8" s="58" t="s">
        <v>33</v>
      </c>
      <c r="F8" s="171">
        <f>5*4</f>
        <v>20</v>
      </c>
      <c r="G8" s="63"/>
      <c r="H8" s="64">
        <f t="shared" si="0"/>
        <v>0</v>
      </c>
      <c r="I8" s="66" t="s">
        <v>30</v>
      </c>
    </row>
    <row r="9" spans="2:9" s="106" customFormat="1" ht="12.95" customHeight="1" x14ac:dyDescent="0.2">
      <c r="B9" s="96">
        <v>3</v>
      </c>
      <c r="C9" s="53" t="s">
        <v>53</v>
      </c>
      <c r="D9" s="68" t="s">
        <v>54</v>
      </c>
      <c r="E9" s="58" t="s">
        <v>12</v>
      </c>
      <c r="F9" s="135">
        <f>15</f>
        <v>15</v>
      </c>
      <c r="G9" s="80"/>
      <c r="H9" s="64">
        <f t="shared" ref="H9:H22" si="1">F9*G9</f>
        <v>0</v>
      </c>
      <c r="I9" s="66" t="s">
        <v>71</v>
      </c>
    </row>
    <row r="10" spans="2:9" s="106" customFormat="1" ht="12.95" customHeight="1" x14ac:dyDescent="0.2">
      <c r="B10" s="96">
        <v>4</v>
      </c>
      <c r="C10" s="46" t="s">
        <v>55</v>
      </c>
      <c r="D10" s="56" t="s">
        <v>56</v>
      </c>
      <c r="E10" s="58" t="s">
        <v>12</v>
      </c>
      <c r="F10" s="135">
        <f>F9*(30)</f>
        <v>450</v>
      </c>
      <c r="G10" s="80"/>
      <c r="H10" s="64">
        <f t="shared" si="1"/>
        <v>0</v>
      </c>
      <c r="I10" s="66" t="s">
        <v>71</v>
      </c>
    </row>
    <row r="11" spans="2:9" s="106" customFormat="1" ht="12.95" customHeight="1" x14ac:dyDescent="0.2">
      <c r="B11" s="96">
        <v>5</v>
      </c>
      <c r="C11" s="46" t="s">
        <v>57</v>
      </c>
      <c r="D11" s="56" t="s">
        <v>58</v>
      </c>
      <c r="E11" s="50" t="s">
        <v>12</v>
      </c>
      <c r="F11" s="136">
        <f>F9</f>
        <v>15</v>
      </c>
      <c r="G11" s="80"/>
      <c r="H11" s="64">
        <f t="shared" si="1"/>
        <v>0</v>
      </c>
      <c r="I11" s="66" t="s">
        <v>71</v>
      </c>
    </row>
    <row r="12" spans="2:9" s="106" customFormat="1" ht="12.95" customHeight="1" x14ac:dyDescent="0.2">
      <c r="B12" s="96">
        <v>6</v>
      </c>
      <c r="C12" s="53" t="s">
        <v>38</v>
      </c>
      <c r="D12" s="60" t="s">
        <v>59</v>
      </c>
      <c r="E12" s="58" t="s">
        <v>33</v>
      </c>
      <c r="F12" s="136">
        <f>F9*4</f>
        <v>60</v>
      </c>
      <c r="G12" s="80"/>
      <c r="H12" s="69">
        <f t="shared" si="1"/>
        <v>0</v>
      </c>
      <c r="I12" s="66" t="s">
        <v>71</v>
      </c>
    </row>
    <row r="13" spans="2:9" s="106" customFormat="1" ht="12.95" customHeight="1" x14ac:dyDescent="0.2">
      <c r="B13" s="96">
        <v>7</v>
      </c>
      <c r="C13" s="46" t="s">
        <v>39</v>
      </c>
      <c r="D13" s="56" t="s">
        <v>60</v>
      </c>
      <c r="E13" s="50" t="s">
        <v>33</v>
      </c>
      <c r="F13" s="132">
        <f>F12*(30)</f>
        <v>1800</v>
      </c>
      <c r="G13" s="80"/>
      <c r="H13" s="61">
        <f t="shared" si="1"/>
        <v>0</v>
      </c>
      <c r="I13" s="66" t="s">
        <v>71</v>
      </c>
    </row>
    <row r="14" spans="2:9" s="106" customFormat="1" ht="12.95" customHeight="1" thickBot="1" x14ac:dyDescent="0.25">
      <c r="B14" s="96">
        <v>8</v>
      </c>
      <c r="C14" s="71" t="s">
        <v>40</v>
      </c>
      <c r="D14" s="91" t="s">
        <v>41</v>
      </c>
      <c r="E14" s="74" t="s">
        <v>33</v>
      </c>
      <c r="F14" s="134">
        <f>F12</f>
        <v>60</v>
      </c>
      <c r="G14" s="78"/>
      <c r="H14" s="76">
        <f t="shared" si="1"/>
        <v>0</v>
      </c>
      <c r="I14" s="66" t="s">
        <v>71</v>
      </c>
    </row>
    <row r="15" spans="2:9" s="106" customFormat="1" ht="12.95" customHeight="1" thickBot="1" x14ac:dyDescent="0.25">
      <c r="B15" s="92"/>
      <c r="C15" s="81"/>
      <c r="D15" s="89" t="s">
        <v>66</v>
      </c>
      <c r="E15" s="108"/>
      <c r="F15" s="108"/>
      <c r="G15" s="108"/>
      <c r="H15" s="90">
        <f>SUM(H16:H22)</f>
        <v>0</v>
      </c>
      <c r="I15" s="97"/>
    </row>
    <row r="16" spans="2:9" s="106" customFormat="1" ht="12.95" customHeight="1" x14ac:dyDescent="0.2">
      <c r="B16" s="96">
        <v>9</v>
      </c>
      <c r="C16" s="53" t="s">
        <v>75</v>
      </c>
      <c r="D16" s="68" t="s">
        <v>76</v>
      </c>
      <c r="E16" s="55" t="s">
        <v>11</v>
      </c>
      <c r="F16" s="127">
        <f>3</f>
        <v>3</v>
      </c>
      <c r="G16" s="78"/>
      <c r="H16" s="98">
        <f t="shared" ref="H16:H18" si="2">F16*G16</f>
        <v>0</v>
      </c>
      <c r="I16" s="66" t="s">
        <v>71</v>
      </c>
    </row>
    <row r="17" spans="2:9" s="106" customFormat="1" ht="12.95" customHeight="1" x14ac:dyDescent="0.2">
      <c r="B17" s="96">
        <v>10</v>
      </c>
      <c r="C17" s="46" t="s">
        <v>77</v>
      </c>
      <c r="D17" s="44" t="s">
        <v>78</v>
      </c>
      <c r="E17" s="45" t="s">
        <v>11</v>
      </c>
      <c r="F17" s="127">
        <f>1</f>
        <v>1</v>
      </c>
      <c r="G17" s="80"/>
      <c r="H17" s="98">
        <f t="shared" si="2"/>
        <v>0</v>
      </c>
      <c r="I17" s="66" t="s">
        <v>71</v>
      </c>
    </row>
    <row r="18" spans="2:9" s="106" customFormat="1" ht="12.95" customHeight="1" x14ac:dyDescent="0.2">
      <c r="B18" s="96">
        <v>11</v>
      </c>
      <c r="C18" s="46" t="s">
        <v>45</v>
      </c>
      <c r="D18" s="194" t="s">
        <v>127</v>
      </c>
      <c r="E18" s="45" t="s">
        <v>11</v>
      </c>
      <c r="F18" s="195">
        <f>2</f>
        <v>2</v>
      </c>
      <c r="G18" s="80"/>
      <c r="H18" s="98">
        <f t="shared" si="2"/>
        <v>0</v>
      </c>
      <c r="I18" s="66" t="s">
        <v>30</v>
      </c>
    </row>
    <row r="19" spans="2:9" s="106" customFormat="1" ht="26.1" customHeight="1" x14ac:dyDescent="0.2">
      <c r="B19" s="96">
        <v>12</v>
      </c>
      <c r="C19" s="46" t="s">
        <v>32</v>
      </c>
      <c r="D19" s="56" t="s">
        <v>69</v>
      </c>
      <c r="E19" s="50" t="s">
        <v>33</v>
      </c>
      <c r="F19" s="127">
        <f>CEILING((360.9+865.7+899.5)*5.76*1.2*0.26,1)</f>
        <v>3821</v>
      </c>
      <c r="G19" s="80"/>
      <c r="H19" s="98">
        <f t="shared" si="1"/>
        <v>0</v>
      </c>
      <c r="I19" s="66" t="s">
        <v>71</v>
      </c>
    </row>
    <row r="20" spans="2:9" s="106" customFormat="1" ht="12.95" customHeight="1" x14ac:dyDescent="0.2">
      <c r="B20" s="96">
        <v>13</v>
      </c>
      <c r="C20" s="50" t="s">
        <v>34</v>
      </c>
      <c r="D20" s="57" t="s">
        <v>70</v>
      </c>
      <c r="E20" s="58" t="s">
        <v>35</v>
      </c>
      <c r="F20" s="136">
        <f>CEILING(((20.2)*2.37*1.2*0.5)*0.1,0.1)</f>
        <v>2.9000000000000004</v>
      </c>
      <c r="G20" s="80"/>
      <c r="H20" s="61">
        <f t="shared" si="1"/>
        <v>0</v>
      </c>
      <c r="I20" s="66" t="s">
        <v>71</v>
      </c>
    </row>
    <row r="21" spans="2:9" s="106" customFormat="1" ht="26.1" customHeight="1" x14ac:dyDescent="0.2">
      <c r="B21" s="96">
        <v>14</v>
      </c>
      <c r="C21" s="50" t="s">
        <v>36</v>
      </c>
      <c r="D21" s="70" t="s">
        <v>37</v>
      </c>
      <c r="E21" s="50" t="s">
        <v>35</v>
      </c>
      <c r="F21" s="136">
        <f>12</f>
        <v>12</v>
      </c>
      <c r="G21" s="80"/>
      <c r="H21" s="61">
        <f t="shared" si="1"/>
        <v>0</v>
      </c>
      <c r="I21" s="66" t="s">
        <v>71</v>
      </c>
    </row>
    <row r="22" spans="2:9" s="106" customFormat="1" ht="26.1" customHeight="1" thickBot="1" x14ac:dyDescent="0.25">
      <c r="B22" s="96">
        <v>15</v>
      </c>
      <c r="C22" s="46" t="s">
        <v>103</v>
      </c>
      <c r="D22" s="56" t="s">
        <v>114</v>
      </c>
      <c r="E22" s="94" t="s">
        <v>35</v>
      </c>
      <c r="F22" s="196">
        <f>CEILING((4.3*0.8*0.5)*1.2,0.1)</f>
        <v>2.1</v>
      </c>
      <c r="G22" s="80"/>
      <c r="H22" s="69">
        <f t="shared" si="1"/>
        <v>0</v>
      </c>
      <c r="I22" s="77" t="s">
        <v>71</v>
      </c>
    </row>
    <row r="23" spans="2:9" s="106" customFormat="1" ht="12.95" customHeight="1" thickBot="1" x14ac:dyDescent="0.25">
      <c r="B23" s="92"/>
      <c r="C23" s="81"/>
      <c r="D23" s="89" t="s">
        <v>67</v>
      </c>
      <c r="E23" s="108"/>
      <c r="F23" s="108"/>
      <c r="G23" s="108"/>
      <c r="H23" s="90">
        <f>SUM(H24:H31)</f>
        <v>0</v>
      </c>
      <c r="I23" s="97"/>
    </row>
    <row r="24" spans="2:9" s="106" customFormat="1" ht="26.1" customHeight="1" x14ac:dyDescent="0.2">
      <c r="B24" s="186">
        <v>16</v>
      </c>
      <c r="C24" s="174" t="s">
        <v>116</v>
      </c>
      <c r="D24" s="48" t="s">
        <v>115</v>
      </c>
      <c r="E24" s="174" t="s">
        <v>12</v>
      </c>
      <c r="F24" s="129">
        <f>CEILING((F26)*1.9,1)</f>
        <v>8</v>
      </c>
      <c r="G24" s="198"/>
      <c r="H24" s="73">
        <f t="shared" ref="H24" si="3">F24*G24</f>
        <v>0</v>
      </c>
      <c r="I24" s="67" t="s">
        <v>71</v>
      </c>
    </row>
    <row r="25" spans="2:9" s="106" customFormat="1" ht="26.1" customHeight="1" x14ac:dyDescent="0.2">
      <c r="B25" s="95">
        <v>17</v>
      </c>
      <c r="C25" s="175" t="s">
        <v>117</v>
      </c>
      <c r="D25" s="54" t="s">
        <v>118</v>
      </c>
      <c r="E25" s="175" t="s">
        <v>12</v>
      </c>
      <c r="F25" s="135">
        <f>CEILING((F27)*4.4,1)</f>
        <v>9</v>
      </c>
      <c r="G25" s="80"/>
      <c r="H25" s="64">
        <f t="shared" ref="H25" si="4">F25*G25</f>
        <v>0</v>
      </c>
      <c r="I25" s="66" t="s">
        <v>71</v>
      </c>
    </row>
    <row r="26" spans="2:9" s="106" customFormat="1" ht="26.1" customHeight="1" x14ac:dyDescent="0.2">
      <c r="B26" s="95">
        <v>18</v>
      </c>
      <c r="C26" s="144" t="s">
        <v>96</v>
      </c>
      <c r="D26" s="149" t="s">
        <v>97</v>
      </c>
      <c r="E26" s="146" t="s">
        <v>11</v>
      </c>
      <c r="F26" s="150">
        <f>4</f>
        <v>4</v>
      </c>
      <c r="G26" s="80"/>
      <c r="H26" s="64">
        <f t="shared" ref="H26" si="5">F26*G26</f>
        <v>0</v>
      </c>
      <c r="I26" s="66" t="s">
        <v>71</v>
      </c>
    </row>
    <row r="27" spans="2:9" s="106" customFormat="1" ht="26.1" customHeight="1" x14ac:dyDescent="0.2">
      <c r="B27" s="95">
        <v>19</v>
      </c>
      <c r="C27" s="144" t="s">
        <v>119</v>
      </c>
      <c r="D27" s="149" t="s">
        <v>120</v>
      </c>
      <c r="E27" s="146" t="s">
        <v>11</v>
      </c>
      <c r="F27" s="150">
        <f>2</f>
        <v>2</v>
      </c>
      <c r="G27" s="80"/>
      <c r="H27" s="64">
        <f t="shared" ref="H27:H28" si="6">F27*G27</f>
        <v>0</v>
      </c>
      <c r="I27" s="66" t="s">
        <v>71</v>
      </c>
    </row>
    <row r="28" spans="2:9" s="106" customFormat="1" ht="12.95" customHeight="1" x14ac:dyDescent="0.2">
      <c r="B28" s="95">
        <v>20</v>
      </c>
      <c r="C28" s="58" t="s">
        <v>61</v>
      </c>
      <c r="D28" s="170" t="s">
        <v>68</v>
      </c>
      <c r="E28" s="58" t="s">
        <v>33</v>
      </c>
      <c r="F28" s="136">
        <f>CEILING((F26*(0.079522*1.3)*2)+(F27*(0.079522*1.3)*4.5),1)</f>
        <v>2</v>
      </c>
      <c r="G28" s="80"/>
      <c r="H28" s="51">
        <f t="shared" si="6"/>
        <v>0</v>
      </c>
      <c r="I28" s="66" t="s">
        <v>71</v>
      </c>
    </row>
    <row r="29" spans="2:9" s="106" customFormat="1" ht="12.95" customHeight="1" x14ac:dyDescent="0.2">
      <c r="B29" s="95">
        <v>21</v>
      </c>
      <c r="C29" s="144" t="s">
        <v>111</v>
      </c>
      <c r="D29" s="149" t="s">
        <v>98</v>
      </c>
      <c r="E29" s="111" t="s">
        <v>13</v>
      </c>
      <c r="F29" s="135">
        <f>CEILING((F24*0.15)+(F25*0.25),0.1)</f>
        <v>3.5</v>
      </c>
      <c r="G29" s="80"/>
      <c r="H29" s="64">
        <f t="shared" ref="H29:H30" si="7">F29*G29</f>
        <v>0</v>
      </c>
      <c r="I29" s="66" t="s">
        <v>71</v>
      </c>
    </row>
    <row r="30" spans="2:9" s="106" customFormat="1" ht="12.95" customHeight="1" x14ac:dyDescent="0.2">
      <c r="B30" s="96">
        <v>22</v>
      </c>
      <c r="C30" s="50" t="s">
        <v>129</v>
      </c>
      <c r="D30" s="197" t="s">
        <v>130</v>
      </c>
      <c r="E30" s="111" t="s">
        <v>12</v>
      </c>
      <c r="F30" s="135">
        <f>CEILING((F26+F27)*0.15,0.1)</f>
        <v>0.9</v>
      </c>
      <c r="G30" s="80"/>
      <c r="H30" s="64">
        <f t="shared" si="7"/>
        <v>0</v>
      </c>
      <c r="I30" s="66" t="s">
        <v>71</v>
      </c>
    </row>
    <row r="31" spans="2:9" s="106" customFormat="1" ht="12.95" customHeight="1" thickBot="1" x14ac:dyDescent="0.25">
      <c r="B31" s="199">
        <v>23</v>
      </c>
      <c r="C31" s="74" t="s">
        <v>109</v>
      </c>
      <c r="D31" s="168" t="s">
        <v>110</v>
      </c>
      <c r="E31" s="74" t="s">
        <v>11</v>
      </c>
      <c r="F31" s="169">
        <f>1</f>
        <v>1</v>
      </c>
      <c r="G31" s="200"/>
      <c r="H31" s="172">
        <f t="shared" ref="H31" si="8">F31*G31</f>
        <v>0</v>
      </c>
      <c r="I31" s="173" t="s">
        <v>71</v>
      </c>
    </row>
    <row r="32" spans="2:9" s="106" customFormat="1" ht="12.95" customHeight="1" thickBot="1" x14ac:dyDescent="0.25">
      <c r="B32" s="92"/>
      <c r="C32" s="81"/>
      <c r="D32" s="83" t="s">
        <v>121</v>
      </c>
      <c r="E32" s="81"/>
      <c r="F32" s="81"/>
      <c r="G32" s="93"/>
      <c r="H32" s="84">
        <f>SUM(H33:H47)</f>
        <v>0</v>
      </c>
      <c r="I32" s="97"/>
    </row>
    <row r="33" spans="2:9" s="106" customFormat="1" ht="26.1" customHeight="1" x14ac:dyDescent="0.2">
      <c r="B33" s="186">
        <v>24</v>
      </c>
      <c r="C33" s="88" t="s">
        <v>36</v>
      </c>
      <c r="D33" s="176" t="s">
        <v>37</v>
      </c>
      <c r="E33" s="88" t="s">
        <v>35</v>
      </c>
      <c r="F33" s="129">
        <f>2.4</f>
        <v>2.4</v>
      </c>
      <c r="G33" s="78"/>
      <c r="H33" s="187">
        <f t="shared" ref="H33" si="9">F33*G33</f>
        <v>0</v>
      </c>
      <c r="I33" s="67" t="s">
        <v>71</v>
      </c>
    </row>
    <row r="34" spans="2:9" s="106" customFormat="1" ht="26.1" customHeight="1" x14ac:dyDescent="0.2">
      <c r="B34" s="95">
        <v>25</v>
      </c>
      <c r="C34" s="50" t="s">
        <v>125</v>
      </c>
      <c r="D34" s="70" t="s">
        <v>126</v>
      </c>
      <c r="E34" s="50" t="s">
        <v>35</v>
      </c>
      <c r="F34" s="136">
        <f>CEILING((0.48*2.5)+(1.48*0.5)+(0.42*7.5)+(0.39*2.5)+(0.75*6),0.1)</f>
        <v>10.600000000000001</v>
      </c>
      <c r="G34" s="80"/>
      <c r="H34" s="69">
        <f t="shared" ref="H34" si="10">F34*G34</f>
        <v>0</v>
      </c>
      <c r="I34" s="66" t="s">
        <v>71</v>
      </c>
    </row>
    <row r="35" spans="2:9" s="106" customFormat="1" ht="26.1" customHeight="1" x14ac:dyDescent="0.2">
      <c r="B35" s="95">
        <v>26</v>
      </c>
      <c r="C35" s="53" t="s">
        <v>84</v>
      </c>
      <c r="D35" s="60" t="s">
        <v>85</v>
      </c>
      <c r="E35" s="58" t="s">
        <v>35</v>
      </c>
      <c r="F35" s="135">
        <f>CEILING((1*1.2*0.5)+(0.7*0.5*0.5)+(1*0.8*0.5),0.5)</f>
        <v>1.5</v>
      </c>
      <c r="G35" s="80"/>
      <c r="H35" s="79">
        <f t="shared" ref="H35:H37" si="11">F35*G35</f>
        <v>0</v>
      </c>
      <c r="I35" s="66" t="s">
        <v>71</v>
      </c>
    </row>
    <row r="36" spans="2:9" s="106" customFormat="1" ht="12.95" customHeight="1" x14ac:dyDescent="0.2">
      <c r="B36" s="95">
        <v>27</v>
      </c>
      <c r="C36" s="53" t="s">
        <v>86</v>
      </c>
      <c r="D36" s="60" t="s">
        <v>87</v>
      </c>
      <c r="E36" s="50" t="s">
        <v>35</v>
      </c>
      <c r="F36" s="135">
        <f>F35</f>
        <v>1.5</v>
      </c>
      <c r="G36" s="80"/>
      <c r="H36" s="79">
        <f t="shared" si="11"/>
        <v>0</v>
      </c>
      <c r="I36" s="77" t="s">
        <v>71</v>
      </c>
    </row>
    <row r="37" spans="2:9" s="106" customFormat="1" ht="12.95" customHeight="1" x14ac:dyDescent="0.2">
      <c r="B37" s="95">
        <v>28</v>
      </c>
      <c r="C37" s="46" t="s">
        <v>123</v>
      </c>
      <c r="D37" s="56" t="s">
        <v>124</v>
      </c>
      <c r="E37" s="50" t="s">
        <v>35</v>
      </c>
      <c r="F37" s="136">
        <f>F35</f>
        <v>1.5</v>
      </c>
      <c r="G37" s="80"/>
      <c r="H37" s="69">
        <f t="shared" si="11"/>
        <v>0</v>
      </c>
      <c r="I37" s="77" t="s">
        <v>71</v>
      </c>
    </row>
    <row r="38" spans="2:9" s="107" customFormat="1" ht="26.1" customHeight="1" x14ac:dyDescent="0.2">
      <c r="B38" s="95">
        <v>29</v>
      </c>
      <c r="C38" s="139" t="s">
        <v>105</v>
      </c>
      <c r="D38" s="140" t="s">
        <v>104</v>
      </c>
      <c r="E38" s="141" t="s">
        <v>35</v>
      </c>
      <c r="F38" s="142">
        <f>F34</f>
        <v>10.600000000000001</v>
      </c>
      <c r="G38" s="80"/>
      <c r="H38" s="114">
        <f t="shared" ref="H38" si="12">F38*G38</f>
        <v>0</v>
      </c>
      <c r="I38" s="77" t="s">
        <v>71</v>
      </c>
    </row>
    <row r="39" spans="2:9" s="106" customFormat="1" ht="26.1" customHeight="1" x14ac:dyDescent="0.2">
      <c r="B39" s="95">
        <v>30</v>
      </c>
      <c r="C39" s="65" t="s">
        <v>106</v>
      </c>
      <c r="D39" s="110" t="s">
        <v>107</v>
      </c>
      <c r="E39" s="94" t="s">
        <v>35</v>
      </c>
      <c r="F39" s="132">
        <f>F38</f>
        <v>10.600000000000001</v>
      </c>
      <c r="G39" s="80"/>
      <c r="H39" s="114">
        <f t="shared" ref="H39:H42" si="13">F39*G39</f>
        <v>0</v>
      </c>
      <c r="I39" s="77" t="s">
        <v>71</v>
      </c>
    </row>
    <row r="40" spans="2:9" s="106" customFormat="1" ht="12.95" customHeight="1" x14ac:dyDescent="0.2">
      <c r="B40" s="95">
        <v>31</v>
      </c>
      <c r="C40" s="50" t="s">
        <v>88</v>
      </c>
      <c r="D40" s="70" t="s">
        <v>89</v>
      </c>
      <c r="E40" s="94" t="s">
        <v>35</v>
      </c>
      <c r="F40" s="136">
        <f>CEILING((1*2.5*0.3)+(4.1*0.5*0.3)+(0.7*7.5*0.3)+(0.4*2.5*0.3)+(0.8*6*0.3),0.5)</f>
        <v>5</v>
      </c>
      <c r="G40" s="80"/>
      <c r="H40" s="151">
        <f t="shared" si="13"/>
        <v>0</v>
      </c>
      <c r="I40" s="77" t="s">
        <v>71</v>
      </c>
    </row>
    <row r="41" spans="2:9" s="106" customFormat="1" ht="26.1" customHeight="1" x14ac:dyDescent="0.2">
      <c r="B41" s="95">
        <v>32</v>
      </c>
      <c r="C41" s="143" t="s">
        <v>90</v>
      </c>
      <c r="D41" s="44" t="s">
        <v>91</v>
      </c>
      <c r="E41" s="143" t="s">
        <v>12</v>
      </c>
      <c r="F41" s="136">
        <f>CEILING(((F42*1.9)+(F43*0.2)),0.5)</f>
        <v>21</v>
      </c>
      <c r="G41" s="80"/>
      <c r="H41" s="79">
        <f t="shared" si="13"/>
        <v>0</v>
      </c>
      <c r="I41" s="66" t="s">
        <v>71</v>
      </c>
    </row>
    <row r="42" spans="2:9" s="106" customFormat="1" ht="26.1" customHeight="1" x14ac:dyDescent="0.2">
      <c r="B42" s="95">
        <v>33</v>
      </c>
      <c r="C42" s="144" t="s">
        <v>96</v>
      </c>
      <c r="D42" s="149" t="s">
        <v>97</v>
      </c>
      <c r="E42" s="146" t="s">
        <v>11</v>
      </c>
      <c r="F42" s="150">
        <f>2+2+4</f>
        <v>8</v>
      </c>
      <c r="G42" s="80"/>
      <c r="H42" s="69">
        <f t="shared" si="13"/>
        <v>0</v>
      </c>
      <c r="I42" s="77" t="s">
        <v>71</v>
      </c>
    </row>
    <row r="43" spans="2:9" s="106" customFormat="1" ht="12.95" customHeight="1" x14ac:dyDescent="0.2">
      <c r="B43" s="95">
        <v>34</v>
      </c>
      <c r="C43" s="144" t="s">
        <v>92</v>
      </c>
      <c r="D43" s="145" t="s">
        <v>93</v>
      </c>
      <c r="E43" s="146" t="s">
        <v>11</v>
      </c>
      <c r="F43" s="136">
        <f>CEILING(((1*1.2)+(0.7*0.5)+(1*0.8))*12,1)</f>
        <v>29</v>
      </c>
      <c r="G43" s="80"/>
      <c r="H43" s="62">
        <f t="shared" ref="H43:H47" si="14">F43*G43</f>
        <v>0</v>
      </c>
      <c r="I43" s="77" t="s">
        <v>71</v>
      </c>
    </row>
    <row r="44" spans="2:9" s="106" customFormat="1" ht="12.95" customHeight="1" x14ac:dyDescent="0.2">
      <c r="B44" s="95">
        <v>35</v>
      </c>
      <c r="C44" s="50" t="s">
        <v>61</v>
      </c>
      <c r="D44" s="70" t="s">
        <v>68</v>
      </c>
      <c r="E44" s="50" t="s">
        <v>33</v>
      </c>
      <c r="F44" s="136">
        <f>CEILING(((F42*2)+(F43*0.4))*0.079522*1.3,1)</f>
        <v>3</v>
      </c>
      <c r="G44" s="80"/>
      <c r="H44" s="112">
        <f t="shared" si="14"/>
        <v>0</v>
      </c>
      <c r="I44" s="66" t="s">
        <v>71</v>
      </c>
    </row>
    <row r="45" spans="2:9" s="106" customFormat="1" ht="12.95" customHeight="1" x14ac:dyDescent="0.2">
      <c r="B45" s="95">
        <v>36</v>
      </c>
      <c r="C45" s="144" t="s">
        <v>111</v>
      </c>
      <c r="D45" s="149" t="s">
        <v>98</v>
      </c>
      <c r="E45" s="111" t="s">
        <v>13</v>
      </c>
      <c r="F45" s="135">
        <f>CEILING(F41*0.15,0.5)</f>
        <v>3.5</v>
      </c>
      <c r="G45" s="80"/>
      <c r="H45" s="69">
        <f t="shared" si="14"/>
        <v>0</v>
      </c>
      <c r="I45" s="77" t="s">
        <v>71</v>
      </c>
    </row>
    <row r="46" spans="2:9" s="106" customFormat="1" ht="12.95" customHeight="1" x14ac:dyDescent="0.2">
      <c r="B46" s="96">
        <v>37</v>
      </c>
      <c r="C46" s="50" t="s">
        <v>129</v>
      </c>
      <c r="D46" s="197" t="s">
        <v>130</v>
      </c>
      <c r="E46" s="111" t="s">
        <v>12</v>
      </c>
      <c r="F46" s="135">
        <f>CEILING((F42)*0.15,0.1)</f>
        <v>1.2000000000000002</v>
      </c>
      <c r="G46" s="80"/>
      <c r="H46" s="64">
        <f t="shared" si="14"/>
        <v>0</v>
      </c>
      <c r="I46" s="66" t="s">
        <v>71</v>
      </c>
    </row>
    <row r="47" spans="2:9" s="106" customFormat="1" ht="26.1" customHeight="1" thickBot="1" x14ac:dyDescent="0.25">
      <c r="B47" s="96">
        <v>38</v>
      </c>
      <c r="C47" s="74" t="s">
        <v>94</v>
      </c>
      <c r="D47" s="168" t="s">
        <v>95</v>
      </c>
      <c r="E47" s="74" t="s">
        <v>33</v>
      </c>
      <c r="F47" s="134">
        <f>CEILING(((1*2.5)+(4.1*0.5)+(0.7*7.5)+(0.4*2.5)+(0.8*6))*1.3,1)</f>
        <v>21</v>
      </c>
      <c r="G47" s="78"/>
      <c r="H47" s="76">
        <f t="shared" si="14"/>
        <v>0</v>
      </c>
      <c r="I47" s="173" t="s">
        <v>71</v>
      </c>
    </row>
    <row r="48" spans="2:9" s="106" customFormat="1" ht="12.95" customHeight="1" thickBot="1" x14ac:dyDescent="0.25">
      <c r="B48" s="92"/>
      <c r="C48" s="81"/>
      <c r="D48" s="83" t="s">
        <v>128</v>
      </c>
      <c r="E48" s="81"/>
      <c r="F48" s="81"/>
      <c r="G48" s="99"/>
      <c r="H48" s="84">
        <f>SUM(H49:H50)</f>
        <v>0</v>
      </c>
      <c r="I48" s="97"/>
    </row>
    <row r="49" spans="2:10" s="106" customFormat="1" ht="12.95" customHeight="1" x14ac:dyDescent="0.2">
      <c r="B49" s="188">
        <v>39</v>
      </c>
      <c r="C49" s="47" t="s">
        <v>45</v>
      </c>
      <c r="D49" s="176" t="s">
        <v>133</v>
      </c>
      <c r="E49" s="88" t="s">
        <v>11</v>
      </c>
      <c r="F49" s="129">
        <f>11+3</f>
        <v>14</v>
      </c>
      <c r="G49" s="177"/>
      <c r="H49" s="73">
        <f t="shared" ref="H49" si="15">F49*G49</f>
        <v>0</v>
      </c>
      <c r="I49" s="67" t="s">
        <v>30</v>
      </c>
      <c r="J49" s="113"/>
    </row>
    <row r="50" spans="2:10" s="106" customFormat="1" ht="12.95" customHeight="1" thickBot="1" x14ac:dyDescent="0.25">
      <c r="B50" s="189">
        <v>40</v>
      </c>
      <c r="C50" s="147" t="s">
        <v>45</v>
      </c>
      <c r="D50" s="190" t="s">
        <v>122</v>
      </c>
      <c r="E50" s="191" t="s">
        <v>47</v>
      </c>
      <c r="F50" s="148">
        <f>1</f>
        <v>1</v>
      </c>
      <c r="G50" s="192"/>
      <c r="H50" s="193">
        <f t="shared" ref="H50" si="16">F50*G50</f>
        <v>0</v>
      </c>
      <c r="I50" s="126" t="s">
        <v>30</v>
      </c>
    </row>
    <row r="51" spans="2:10" s="106" customFormat="1" ht="12.95" customHeight="1" thickBot="1" x14ac:dyDescent="0.25">
      <c r="B51" s="92"/>
      <c r="C51" s="81"/>
      <c r="D51" s="83" t="s">
        <v>74</v>
      </c>
      <c r="E51" s="81"/>
      <c r="F51" s="81"/>
      <c r="G51" s="99"/>
      <c r="H51" s="84">
        <f>SUM(H52:H55)</f>
        <v>0</v>
      </c>
      <c r="I51" s="97"/>
    </row>
    <row r="52" spans="2:10" s="106" customFormat="1" ht="12.95" customHeight="1" x14ac:dyDescent="0.2">
      <c r="B52" s="188">
        <v>41</v>
      </c>
      <c r="C52" s="47" t="s">
        <v>79</v>
      </c>
      <c r="D52" s="128" t="s">
        <v>80</v>
      </c>
      <c r="E52" s="88" t="s">
        <v>81</v>
      </c>
      <c r="F52" s="129">
        <f>CEILING((F20)*2.3,0.1)</f>
        <v>6.7</v>
      </c>
      <c r="G52" s="78"/>
      <c r="H52" s="73">
        <f t="shared" ref="H52:H55" si="17">F52*G52</f>
        <v>0</v>
      </c>
      <c r="I52" s="67" t="s">
        <v>71</v>
      </c>
      <c r="J52" s="113"/>
    </row>
    <row r="53" spans="2:10" s="106" customFormat="1" ht="12.95" customHeight="1" x14ac:dyDescent="0.2">
      <c r="B53" s="109">
        <v>42</v>
      </c>
      <c r="C53" s="46" t="s">
        <v>99</v>
      </c>
      <c r="D53" s="56" t="s">
        <v>100</v>
      </c>
      <c r="E53" s="130" t="s">
        <v>81</v>
      </c>
      <c r="F53" s="131">
        <f>CEILING(((F20+F21+F33)*2.3)+((F22+F35)*2),0.5)</f>
        <v>47</v>
      </c>
      <c r="G53" s="80"/>
      <c r="H53" s="69">
        <f t="shared" si="17"/>
        <v>0</v>
      </c>
      <c r="I53" s="66" t="s">
        <v>71</v>
      </c>
      <c r="J53" s="113"/>
    </row>
    <row r="54" spans="2:10" s="106" customFormat="1" ht="12.95" customHeight="1" x14ac:dyDescent="0.2">
      <c r="B54" s="109">
        <v>43</v>
      </c>
      <c r="C54" s="46" t="s">
        <v>101</v>
      </c>
      <c r="D54" s="56" t="s">
        <v>102</v>
      </c>
      <c r="E54" s="50" t="s">
        <v>81</v>
      </c>
      <c r="F54" s="136">
        <f>F53*24</f>
        <v>1128</v>
      </c>
      <c r="G54" s="80"/>
      <c r="H54" s="62">
        <f t="shared" si="17"/>
        <v>0</v>
      </c>
      <c r="I54" s="77" t="s">
        <v>71</v>
      </c>
      <c r="J54" s="113"/>
    </row>
    <row r="55" spans="2:10" s="106" customFormat="1" ht="12.95" customHeight="1" thickBot="1" x14ac:dyDescent="0.25">
      <c r="B55" s="189">
        <v>44</v>
      </c>
      <c r="C55" s="74" t="s">
        <v>82</v>
      </c>
      <c r="D55" s="133" t="s">
        <v>83</v>
      </c>
      <c r="E55" s="74" t="s">
        <v>81</v>
      </c>
      <c r="F55" s="134">
        <f>F53</f>
        <v>47</v>
      </c>
      <c r="G55" s="75"/>
      <c r="H55" s="76">
        <f t="shared" si="17"/>
        <v>0</v>
      </c>
      <c r="I55" s="126" t="s">
        <v>71</v>
      </c>
      <c r="J55" s="113"/>
    </row>
    <row r="56" spans="2:10" s="106" customFormat="1" ht="12.95" customHeight="1" thickBot="1" x14ac:dyDescent="0.25">
      <c r="B56" s="82"/>
      <c r="C56" s="121"/>
      <c r="D56" s="122" t="s">
        <v>22</v>
      </c>
      <c r="E56" s="121"/>
      <c r="F56" s="121"/>
      <c r="G56" s="123"/>
      <c r="H56" s="124">
        <f>SUM(H57:H61)</f>
        <v>0</v>
      </c>
      <c r="I56" s="125"/>
    </row>
    <row r="57" spans="2:10" s="106" customFormat="1" ht="12.95" customHeight="1" x14ac:dyDescent="0.2">
      <c r="B57" s="178">
        <v>45</v>
      </c>
      <c r="C57" s="47" t="s">
        <v>44</v>
      </c>
      <c r="D57" s="48" t="s">
        <v>42</v>
      </c>
      <c r="E57" s="49" t="s">
        <v>47</v>
      </c>
      <c r="F57" s="137">
        <f>1</f>
        <v>1</v>
      </c>
      <c r="G57" s="59"/>
      <c r="H57" s="119">
        <f>G57*F57</f>
        <v>0</v>
      </c>
      <c r="I57" s="100" t="s">
        <v>30</v>
      </c>
    </row>
    <row r="58" spans="2:10" s="106" customFormat="1" ht="12.95" customHeight="1" x14ac:dyDescent="0.2">
      <c r="B58" s="72">
        <v>46</v>
      </c>
      <c r="C58" s="46" t="s">
        <v>51</v>
      </c>
      <c r="D58" s="54" t="s">
        <v>48</v>
      </c>
      <c r="E58" s="45" t="s">
        <v>47</v>
      </c>
      <c r="F58" s="127">
        <f>1</f>
        <v>1</v>
      </c>
      <c r="G58" s="52"/>
      <c r="H58" s="120">
        <f t="shared" ref="H58" si="18">G58*F58</f>
        <v>0</v>
      </c>
      <c r="I58" s="101" t="s">
        <v>30</v>
      </c>
    </row>
    <row r="59" spans="2:10" s="106" customFormat="1" ht="12.95" customHeight="1" x14ac:dyDescent="0.2">
      <c r="B59" s="72">
        <v>47</v>
      </c>
      <c r="C59" s="46" t="s">
        <v>43</v>
      </c>
      <c r="D59" s="44" t="s">
        <v>50</v>
      </c>
      <c r="E59" s="45" t="s">
        <v>47</v>
      </c>
      <c r="F59" s="127">
        <f>1</f>
        <v>1</v>
      </c>
      <c r="G59" s="52"/>
      <c r="H59" s="120">
        <f t="shared" ref="H59" si="19">G59*F59</f>
        <v>0</v>
      </c>
      <c r="I59" s="101" t="s">
        <v>30</v>
      </c>
    </row>
    <row r="60" spans="2:10" s="106" customFormat="1" ht="12.95" customHeight="1" x14ac:dyDescent="0.2">
      <c r="B60" s="72">
        <v>48</v>
      </c>
      <c r="C60" s="115" t="s">
        <v>62</v>
      </c>
      <c r="D60" s="116" t="s">
        <v>63</v>
      </c>
      <c r="E60" s="115" t="s">
        <v>13</v>
      </c>
      <c r="F60" s="138">
        <f>4*8</f>
        <v>32</v>
      </c>
      <c r="G60" s="117"/>
      <c r="H60" s="118">
        <f>G60*F60</f>
        <v>0</v>
      </c>
      <c r="I60" s="101" t="s">
        <v>30</v>
      </c>
    </row>
    <row r="61" spans="2:10" s="106" customFormat="1" ht="12.95" customHeight="1" thickBot="1" x14ac:dyDescent="0.25">
      <c r="B61" s="179">
        <v>49</v>
      </c>
      <c r="C61" s="71" t="s">
        <v>46</v>
      </c>
      <c r="D61" s="180" t="s">
        <v>49</v>
      </c>
      <c r="E61" s="181" t="s">
        <v>33</v>
      </c>
      <c r="F61" s="182">
        <f>5*16</f>
        <v>80</v>
      </c>
      <c r="G61" s="183"/>
      <c r="H61" s="184">
        <f t="shared" ref="H61" si="20">G61*F61</f>
        <v>0</v>
      </c>
      <c r="I61" s="185" t="s">
        <v>30</v>
      </c>
    </row>
  </sheetData>
  <protectedRanges>
    <protectedRange sqref="E45 E42" name="Oblast1_3_3_1_1"/>
    <protectedRange sqref="D31" name="Oblast1_4_1_1_1_2"/>
    <protectedRange sqref="E22" name="Oblast1_3_3_1_3"/>
    <protectedRange sqref="C34" name="Oblast1_3_1_1_1_2_2"/>
    <protectedRange sqref="D34" name="Oblast1_4_1_1_1_2_3"/>
  </protectedRanges>
  <sortState ref="H52:N75">
    <sortCondition ref="H51"/>
  </sortState>
  <mergeCells count="2">
    <mergeCell ref="B4:C4"/>
    <mergeCell ref="B3:C3"/>
  </mergeCells>
  <printOptions horizontalCentered="1"/>
  <pageMargins left="0.39370078740157483" right="0.39370078740157483" top="0.78740157480314965" bottom="0.59055118110236227" header="0" footer="0"/>
  <pageSetup paperSize="9" scale="92" firstPageNumber="0" fitToHeight="3" orientation="landscape" horizontalDpi="300" verticalDpi="300" r:id="rId1"/>
  <headerFooter alignWithMargins="0">
    <oddFooter>&amp;C&amp;"Arial CE,Běžné"&amp;7  Strana &amp;P z &amp;N</oddFooter>
  </headerFooter>
  <rowBreaks count="1" manualBreakCount="1">
    <brk id="31" min="1" max="8" man="1"/>
  </rowBreaks>
  <ignoredErrors>
    <ignoredError sqref="H15 H23 H48 H32" formula="1"/>
    <ignoredError sqref="H51" evalError="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Krycí list</vt:lpstr>
      <vt:lpstr>Náklady stavby</vt:lpstr>
      <vt:lpstr>__xlnm.Print_Area_2</vt:lpstr>
      <vt:lpstr>'Náklady stavby'!Názvy_tisku</vt:lpstr>
      <vt:lpstr>'Krycí list'!Oblast_tisku</vt:lpstr>
      <vt:lpstr>'Náklady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osickal</dc:creator>
  <cp:lastModifiedBy>osickal</cp:lastModifiedBy>
  <cp:lastPrinted>2018-05-09T10:57:51Z</cp:lastPrinted>
  <dcterms:created xsi:type="dcterms:W3CDTF">2010-05-13T13:15:26Z</dcterms:created>
  <dcterms:modified xsi:type="dcterms:W3CDTF">2018-11-30T09:55:21Z</dcterms:modified>
</cp:coreProperties>
</file>